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EADME" sheetId="1" state="visible" r:id="rId3"/>
    <sheet name="Debts" sheetId="2" state="visible" r:id="rId4"/>
    <sheet name="Avalanche Plan" sheetId="3" state="visible" r:id="rId5"/>
    <sheet name="Snowball Plan" sheetId="4" state="visible" r:id="rId6"/>
    <sheet name="Payoff Dashboard" sheetId="5" state="visible" r:id="rId7"/>
    <sheet name="AI Prompt Library" sheetId="6" state="visible" r:id="rId8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<sst xmlns="http://schemas.openxmlformats.org/spreadsheetml/2006/main" count="113" uniqueCount="94">
  <si>
    <t xml:space="preserve">SMLSHEETS.AI — THE DEBT ANNIHILATOR</t>
  </si>
  <si>
    <t xml:space="preserve">AI-powered debt payoff planner · Script Master Labs</t>
  </si>
  <si>
    <t xml:space="preserve">WHAT'S IN THIS WORKBOOK</t>
  </si>
  <si>
    <t xml:space="preserve">Debts</t>
  </si>
  <si>
    <t xml:space="preserve">Enter every debt you owe — balance, rate, minimum payment</t>
  </si>
  <si>
    <t xml:space="preserve">Avalanche Plan</t>
  </si>
  <si>
    <t xml:space="preserve">Highest-interest-rate-first payoff order — minimizes total interest paid</t>
  </si>
  <si>
    <t xml:space="preserve">Snowball Plan</t>
  </si>
  <si>
    <t xml:space="preserve">Smallest-balance-first payoff order — maximizes early psychological wins</t>
  </si>
  <si>
    <t xml:space="preserve">Payoff Dashboard</t>
  </si>
  <si>
    <t xml:space="preserve">Side-by-side comparison: which method gets you debt-free faster, and cheaper</t>
  </si>
  <si>
    <t xml:space="preserve">AI Prompt Library</t>
  </si>
  <si>
    <t xml:space="preserve">Ready-to-paste prompts for your BYOK AI assistant</t>
  </si>
  <si>
    <t xml:space="preserve">HOW TO USE</t>
  </si>
  <si>
    <t xml:space="preserve">1.</t>
  </si>
  <si>
    <t xml:space="preserve">List every debt on the Debts tab — balance, APR, minimum payment, name</t>
  </si>
  <si>
    <t xml:space="preserve">2.</t>
  </si>
  <si>
    <t xml:space="preserve">Enter your Extra Monthly Payment amount (whatever you can put toward debt beyond minimums)</t>
  </si>
  <si>
    <t xml:space="preserve">3.</t>
  </si>
  <si>
    <t xml:space="preserve">Avalanche Plan and Snowball Plan calculate automatically — both show payoff date and total interest</t>
  </si>
  <si>
    <t xml:space="preserve">4.</t>
  </si>
  <si>
    <t xml:space="preserve">Check Payoff Dashboard to see which method saves you more, and decide which fits your motivation style</t>
  </si>
  <si>
    <t xml:space="preserve">5.</t>
  </si>
  <si>
    <t xml:space="preserve">Update your actual balances monthly as you pay debts down — the plan recalculates automatically</t>
  </si>
  <si>
    <t xml:space="preserve">AVALANCHE VS. SNOWBALL — WHICH SHOULD YOU USE?</t>
  </si>
  <si>
    <t xml:space="preserve">Avalanche pays off highest-interest-rate debt first. It is mathematically optimal — you pay the</t>
  </si>
  <si>
    <t xml:space="preserve">least total interest. Snowball pays off smallest-balance debt first. You pay slightly more interest</t>
  </si>
  <si>
    <t xml:space="preserve">overall, but you eliminate individual debts faster, which research shows keeps many people more</t>
  </si>
  <si>
    <t xml:space="preserve">motivated to stick with the plan. Neither is "wrong" — use whichever you'll actually stay consistent with.</t>
  </si>
  <si>
    <t xml:space="preserve">BYOK — BRING YOUR OWN KEY</t>
  </si>
  <si>
    <t xml:space="preserve">This workbook has no embedded AI calls and sends no data anywhere. The AI Prompt Library tab gives</t>
  </si>
  <si>
    <t xml:space="preserve">you ready-made prompts for your own AI tool and your own account. Your financial details stay yours.</t>
  </si>
  <si>
    <t xml:space="preserve">SUPPORT</t>
  </si>
  <si>
    <t xml:space="preserve">ScriptMasterLabs@gmail.com  ·  scriptmasterlabs.com/smlsheets.html</t>
  </si>
  <si>
    <t xml:space="preserve">YOUR DEBTS — enter every balance you owe</t>
  </si>
  <si>
    <t xml:space="preserve">Extra Monthly Payment (beyond minimums):</t>
  </si>
  <si>
    <t xml:space="preserve">Debt Name</t>
  </si>
  <si>
    <t xml:space="preserve">Type</t>
  </si>
  <si>
    <t xml:space="preserve">Current Balance</t>
  </si>
  <si>
    <t xml:space="preserve">APR (%)</t>
  </si>
  <si>
    <t xml:space="preserve">Minimum Payment</t>
  </si>
  <si>
    <t xml:space="preserve">Notes</t>
  </si>
  <si>
    <t xml:space="preserve">Avalanche Rank</t>
  </si>
  <si>
    <t xml:space="preserve">Snowball Rank</t>
  </si>
  <si>
    <t xml:space="preserve">Credit Card — Visa</t>
  </si>
  <si>
    <t xml:space="preserve">Credit Card</t>
  </si>
  <si>
    <t xml:space="preserve">Highest rate</t>
  </si>
  <si>
    <t xml:space="preserve">Credit Card — Store Card</t>
  </si>
  <si>
    <t xml:space="preserve">Smallest balance</t>
  </si>
  <si>
    <t xml:space="preserve">Car Loan</t>
  </si>
  <si>
    <t xml:space="preserve">Auto Loan</t>
  </si>
  <si>
    <t xml:space="preserve">Personal Loan</t>
  </si>
  <si>
    <t xml:space="preserve">TOTALS</t>
  </si>
  <si>
    <t xml:space="preserve">AVALANCHE PLAN — highest interest rate paid off first</t>
  </si>
  <si>
    <t xml:space="preserve">Mathematically optimal: minimizes total interest paid across all debts.</t>
  </si>
  <si>
    <t xml:space="preserve">Payoff Order</t>
  </si>
  <si>
    <t xml:space="preserve">Balance</t>
  </si>
  <si>
    <t xml:space="preserve">Payoff Priority</t>
  </si>
  <si>
    <t xml:space="preserve">ESTIMATED PAYOFF SUMMARY</t>
  </si>
  <si>
    <t xml:space="preserve">Total Debt</t>
  </si>
  <si>
    <t xml:space="preserve">Total Minimum Payments / Month</t>
  </si>
  <si>
    <t xml:space="preserve">Extra Payment / Month</t>
  </si>
  <si>
    <t xml:space="preserve">Total Monthly Debt Payment</t>
  </si>
  <si>
    <t xml:space="preserve">Estimated Months to Debt-Free (simplified)</t>
  </si>
  <si>
    <t xml:space="preserve">Note</t>
  </si>
  <si>
    <t xml:space="preserve">Simplified estimate; actual payoff time depends on interest accrual order — see Payoff Dashboard for comparison</t>
  </si>
  <si>
    <t xml:space="preserve">SNOWBALL PLAN — smallest balance paid off first</t>
  </si>
  <si>
    <t xml:space="preserve">Behaviorally optimal: fastest early wins to keep you motivated.</t>
  </si>
  <si>
    <t xml:space="preserve">Snowball typically finishes 1-3 months later than avalanche but clears individual debts sooner</t>
  </si>
  <si>
    <t xml:space="preserve">PAYOFF DASHBOARD — avalanche vs. snowball at a glance</t>
  </si>
  <si>
    <t xml:space="preserve">METRIC</t>
  </si>
  <si>
    <t xml:space="preserve">AVALANCHE</t>
  </si>
  <si>
    <t xml:space="preserve">SNOWBALL</t>
  </si>
  <si>
    <t xml:space="preserve">DIFFERENCE</t>
  </si>
  <si>
    <t xml:space="preserve">Total Monthly Payment</t>
  </si>
  <si>
    <t xml:space="preserve">Est. Months to Debt-Free</t>
  </si>
  <si>
    <t xml:space="preserve">First Debt Eliminated</t>
  </si>
  <si>
    <t xml:space="preserve">WHICH SHOULD YOU PICK?</t>
  </si>
  <si>
    <t xml:space="preserve">Avalanche saves more in total interest. Snowball clears your first debt faster, which research</t>
  </si>
  <si>
    <t xml:space="preserve">shows helps many people stay consistent. Pick whichever you'll actually stick with for the long haul.</t>
  </si>
  <si>
    <t xml:space="preserve">AI PROMPT LIBRARY — paste into your BYOK AI assistant</t>
  </si>
  <si>
    <t xml:space="preserve">Use with ChatGPT, Claude, or any LLM via your own API key.</t>
  </si>
  <si>
    <t xml:space="preserve">Use Case</t>
  </si>
  <si>
    <t xml:space="preserve">Prompt Template</t>
  </si>
  <si>
    <t xml:space="preserve">Find extra payment room</t>
  </si>
  <si>
    <t xml:space="preserve">Here's my monthly budget: [LIST INCOME AND EXPENSES]. Help me find realistic places to cut spending so I can free up more money for extra debt payments, without proposing anything unsustainable long-term.</t>
  </si>
  <si>
    <t xml:space="preserve">Negotiate a lower rate</t>
  </si>
  <si>
    <t xml:space="preserve">I have a [DEBT TYPE] with [LENDER] at [CURRENT APR]% APR and a balance of $[BALANCE]. I've been paying on time for [LENGTH OF TIME]. Write a short, professional script I could use to call and ask for a lower rate.</t>
  </si>
  <si>
    <t xml:space="preserve">Explain payoff tradeoffs</t>
  </si>
  <si>
    <t xml:space="preserve">I have these debts: [PASTE FROM DEBTS TAB]. Explain in plain language what the difference would be between paying them off with the avalanche method versus the snowball method, specific to my actual numbers.</t>
  </si>
  <si>
    <t xml:space="preserve">Stay motivated</t>
  </si>
  <si>
    <t xml:space="preserve">I'm [X] months into paying off $[TOTAL DEBT] in debt using the [avalanche/snowball] method. I've paid off $[AMOUNT PAID] so far. Write me a short, honest, non-cheesy note of encouragement to keep going.</t>
  </si>
  <si>
    <t xml:space="preserve">Avoid new debt triggers</t>
  </si>
  <si>
    <t xml:space="preserve">My biggest spending triggers that lead to new debt are: [LIST TRIGGERS, e.g. stress, social events, sales]. Suggest practical, specific strategies to avoid taking on new debt while I'm paying off what I already owe.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</si>
</sst>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\$#,##0"/>
    <numFmt numFmtId="166" formatCode="0.00"/>
    <numFmt numFmtId="167" formatCode="General"/>
  </numFmts>
  <fonts count="16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4"/>
      <color rgb="FF39FF14"/>
      <name val="Arial"/>
      <family val="0"/>
      <charset val="1"/>
    </font>
    <font>
      <i val="true"/>
      <sz val="11"/>
      <color rgb="FF888888"/>
      <name val="Arial"/>
      <family val="0"/>
      <charset val="1"/>
    </font>
    <font>
      <b val="true"/>
      <sz val="14"/>
      <color rgb="FFFFFFFF"/>
      <name val="Arial"/>
      <family val="0"/>
      <charset val="1"/>
    </font>
    <font>
      <b val="true"/>
      <sz val="11"/>
      <name val="Arial"/>
      <family val="0"/>
      <charset val="1"/>
    </font>
    <font>
      <b val="true"/>
      <sz val="20"/>
      <color rgb="FF39FF14"/>
      <name val="Arial"/>
      <family val="0"/>
      <charset val="1"/>
    </font>
    <font>
      <sz val="11"/>
      <color rgb="FF0000FF"/>
      <name val="Arial"/>
      <family val="0"/>
      <charset val="1"/>
    </font>
    <font>
      <b val="true"/>
      <sz val="12"/>
      <color rgb="FF39FF14"/>
      <name val="Arial"/>
      <family val="0"/>
      <charset val="1"/>
    </font>
    <font>
      <b val="true"/>
      <sz val="9"/>
      <color rgb="FF888888"/>
      <name val="Arial"/>
      <family val="0"/>
      <charset val="1"/>
    </font>
    <font>
      <sz val="11"/>
      <color rgb="FF000000"/>
      <name val="Arial"/>
      <family val="0"/>
      <charset val="1"/>
    </font>
    <font>
      <sz val="9"/>
      <color rgb="FF888888"/>
      <name val="Arial"/>
      <family val="0"/>
      <charset val="1"/>
    </font>
    <font>
      <b val="true"/>
      <sz val="13"/>
      <name val="Arial"/>
      <family val="0"/>
      <charset val="1"/>
    </font>
    <font>
      <b val="true"/>
      <sz val="13"/>
      <color rgb="FFFFFFFF"/>
      <name val="Arial"/>
      <family val="0"/>
      <charset val="1"/>
    </font>
  </fonts>
  <fills count="4">
    <fill>
      <patternFill patternType="none"/>
    </fill>
    <fill>
      <patternFill patternType="gray125"/>
    </fill>
    <fill>
      <patternFill patternType="solid">
        <fgColor rgb="FF0F0F0F"/>
        <bgColor rgb="FF000000"/>
      </patternFill>
    </fill>
    <fill>
      <patternFill patternType="solid">
        <fgColor rgb="FF000000"/>
        <bgColor rgb="FF0F0F0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2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">
    <dxf>
      <fill>
        <patternFill>
          <bgColor rgb="FFC6EFCE"/>
        </patternFill>
      </fill>
    </dxf>
  </dxfs>
  <colors>
    <indexedColors>
      <rgbColor rgb="FF000000"/>
      <rgbColor rgb="FFFFFFFF"/>
      <rgbColor rgb="FFFF0000"/>
      <rgbColor rgb="FF39FF14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88888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6EFCE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F0F0F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30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0"/>
    <col collapsed="false" customWidth="true" hidden="false" outlineLevel="0" max="3" min="2" style="0" width="35"/>
    <col collapsed="false" customWidth="true" hidden="false" outlineLevel="0" max="4" min="4" style="0" width="25"/>
  </cols>
  <sheetData>
    <row r="1" customFormat="false" ht="29.15" hidden="false" customHeight="false" outlineLevel="0" collapsed="false">
      <c r="A1" s="1" t="s">
        <v>0</v>
      </c>
      <c r="B1" s="1"/>
      <c r="C1" s="1"/>
      <c r="D1" s="1"/>
    </row>
    <row r="2" customFormat="false" ht="15" hidden="false" customHeight="false" outlineLevel="0" collapsed="false">
      <c r="A2" s="2" t="s">
        <v>1</v>
      </c>
      <c r="B2" s="2"/>
      <c r="C2" s="2"/>
      <c r="D2" s="2"/>
    </row>
    <row r="5" customFormat="false" ht="17.35" hidden="false" customHeight="false" outlineLevel="0" collapsed="false">
      <c r="A5" s="3" t="s">
        <v>2</v>
      </c>
      <c r="B5" s="3"/>
      <c r="C5" s="3"/>
      <c r="D5" s="3"/>
    </row>
    <row r="6" customFormat="false" ht="15" hidden="false" customHeight="false" outlineLevel="0" collapsed="false">
      <c r="A6" s="4" t="s">
        <v>3</v>
      </c>
      <c r="B6" s="5" t="s">
        <v>4</v>
      </c>
      <c r="C6" s="5"/>
      <c r="D6" s="5"/>
    </row>
    <row r="7" customFormat="false" ht="15" hidden="false" customHeight="false" outlineLevel="0" collapsed="false">
      <c r="A7" s="4" t="s">
        <v>5</v>
      </c>
      <c r="B7" s="5" t="s">
        <v>6</v>
      </c>
      <c r="C7" s="5"/>
      <c r="D7" s="5"/>
    </row>
    <row r="8" customFormat="false" ht="15" hidden="false" customHeight="false" outlineLevel="0" collapsed="false">
      <c r="A8" s="4" t="s">
        <v>7</v>
      </c>
      <c r="B8" s="5" t="s">
        <v>8</v>
      </c>
      <c r="C8" s="5"/>
      <c r="D8" s="5"/>
    </row>
    <row r="9" customFormat="false" ht="15" hidden="false" customHeight="false" outlineLevel="0" collapsed="false">
      <c r="A9" s="4" t="s">
        <v>9</v>
      </c>
      <c r="B9" s="5" t="s">
        <v>10</v>
      </c>
      <c r="C9" s="5"/>
      <c r="D9" s="5"/>
    </row>
    <row r="10" customFormat="false" ht="15" hidden="false" customHeight="false" outlineLevel="0" collapsed="false">
      <c r="A10" s="4" t="s">
        <v>11</v>
      </c>
      <c r="B10" s="5" t="s">
        <v>12</v>
      </c>
      <c r="C10" s="5"/>
      <c r="D10" s="5"/>
    </row>
    <row r="12" customFormat="false" ht="17.35" hidden="false" customHeight="false" outlineLevel="0" collapsed="false">
      <c r="A12" s="3" t="s">
        <v>13</v>
      </c>
      <c r="B12" s="3"/>
      <c r="C12" s="3"/>
      <c r="D12" s="3"/>
    </row>
    <row r="13" customFormat="false" ht="15" hidden="false" customHeight="false" outlineLevel="0" collapsed="false">
      <c r="A13" s="4" t="s">
        <v>14</v>
      </c>
      <c r="B13" s="5" t="s">
        <v>15</v>
      </c>
      <c r="C13" s="5"/>
      <c r="D13" s="5"/>
    </row>
    <row r="14" customFormat="false" ht="15" hidden="false" customHeight="false" outlineLevel="0" collapsed="false">
      <c r="A14" s="4" t="s">
        <v>16</v>
      </c>
      <c r="B14" s="5" t="s">
        <v>17</v>
      </c>
      <c r="C14" s="5"/>
      <c r="D14" s="5"/>
    </row>
    <row r="15" customFormat="false" ht="15" hidden="false" customHeight="false" outlineLevel="0" collapsed="false">
      <c r="A15" s="4" t="s">
        <v>18</v>
      </c>
      <c r="B15" s="5" t="s">
        <v>19</v>
      </c>
      <c r="C15" s="5"/>
      <c r="D15" s="5"/>
    </row>
    <row r="16" customFormat="false" ht="15" hidden="false" customHeight="false" outlineLevel="0" collapsed="false">
      <c r="A16" s="4" t="s">
        <v>20</v>
      </c>
      <c r="B16" s="5" t="s">
        <v>21</v>
      </c>
      <c r="C16" s="5"/>
      <c r="D16" s="5"/>
    </row>
    <row r="17" customFormat="false" ht="15" hidden="false" customHeight="false" outlineLevel="0" collapsed="false">
      <c r="A17" s="4" t="s">
        <v>22</v>
      </c>
      <c r="B17" s="5" t="s">
        <v>23</v>
      </c>
      <c r="C17" s="5"/>
      <c r="D17" s="5"/>
    </row>
    <row r="19" customFormat="false" ht="17.35" hidden="false" customHeight="false" outlineLevel="0" collapsed="false">
      <c r="A19" s="3" t="s">
        <v>24</v>
      </c>
      <c r="B19" s="3"/>
      <c r="C19" s="3"/>
      <c r="D19" s="3"/>
    </row>
    <row r="20" customFormat="false" ht="15" hidden="false" customHeight="false" outlineLevel="0" collapsed="false">
      <c r="A20" s="5" t="s">
        <v>25</v>
      </c>
      <c r="B20" s="5"/>
      <c r="C20" s="5"/>
      <c r="D20" s="5"/>
    </row>
    <row r="21" customFormat="false" ht="15" hidden="false" customHeight="false" outlineLevel="0" collapsed="false">
      <c r="A21" s="5" t="s">
        <v>26</v>
      </c>
      <c r="B21" s="5"/>
      <c r="C21" s="5"/>
      <c r="D21" s="5"/>
    </row>
    <row r="22" customFormat="false" ht="15" hidden="false" customHeight="false" outlineLevel="0" collapsed="false">
      <c r="A22" s="5" t="s">
        <v>27</v>
      </c>
      <c r="B22" s="5"/>
      <c r="C22" s="5"/>
      <c r="D22" s="5"/>
    </row>
    <row r="23" customFormat="false" ht="15" hidden="false" customHeight="false" outlineLevel="0" collapsed="false">
      <c r="A23" s="5" t="s">
        <v>28</v>
      </c>
      <c r="B23" s="5"/>
      <c r="C23" s="5"/>
      <c r="D23" s="5"/>
    </row>
    <row r="25" customFormat="false" ht="17.35" hidden="false" customHeight="false" outlineLevel="0" collapsed="false">
      <c r="A25" s="3" t="s">
        <v>29</v>
      </c>
      <c r="B25" s="3"/>
      <c r="C25" s="3"/>
      <c r="D25" s="3"/>
    </row>
    <row r="26" customFormat="false" ht="15" hidden="false" customHeight="false" outlineLevel="0" collapsed="false">
      <c r="A26" s="5" t="s">
        <v>30</v>
      </c>
      <c r="B26" s="5"/>
      <c r="C26" s="5"/>
      <c r="D26" s="5"/>
    </row>
    <row r="27" customFormat="false" ht="15" hidden="false" customHeight="false" outlineLevel="0" collapsed="false">
      <c r="A27" s="5" t="s">
        <v>31</v>
      </c>
      <c r="B27" s="5"/>
      <c r="C27" s="5"/>
      <c r="D27" s="5"/>
    </row>
    <row r="29" customFormat="false" ht="17.35" hidden="false" customHeight="false" outlineLevel="0" collapsed="false">
      <c r="A29" s="3" t="s">
        <v>32</v>
      </c>
      <c r="B29" s="3"/>
      <c r="C29" s="3"/>
      <c r="D29" s="3"/>
    </row>
    <row r="30" customFormat="false" ht="15" hidden="false" customHeight="false" outlineLevel="0" collapsed="false">
      <c r="A30" s="5" t="s">
        <v>33</v>
      </c>
      <c r="B30" s="5"/>
      <c r="C30" s="5"/>
      <c r="D30" s="5"/>
    </row>
  </sheetData>
  <mergeCells count="24">
    <mergeCell ref="A1:D1"/>
    <mergeCell ref="A2:D2"/>
    <mergeCell ref="A5:D5"/>
    <mergeCell ref="B6:D6"/>
    <mergeCell ref="B7:D7"/>
    <mergeCell ref="B8:D8"/>
    <mergeCell ref="B9:D9"/>
    <mergeCell ref="B10:D10"/>
    <mergeCell ref="A12:D12"/>
    <mergeCell ref="B13:D13"/>
    <mergeCell ref="B14:D14"/>
    <mergeCell ref="B15:D15"/>
    <mergeCell ref="B16:D16"/>
    <mergeCell ref="B17:D17"/>
    <mergeCell ref="A19:D19"/>
    <mergeCell ref="A20:D20"/>
    <mergeCell ref="A21:D21"/>
    <mergeCell ref="A22:D22"/>
    <mergeCell ref="A23:D23"/>
    <mergeCell ref="A25:D25"/>
    <mergeCell ref="A26:D26"/>
    <mergeCell ref="A27:D27"/>
    <mergeCell ref="A29:D29"/>
    <mergeCell ref="A30:D30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23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4"/>
    <col collapsed="false" customWidth="true" hidden="false" outlineLevel="0" max="2" min="2" style="0" width="16"/>
    <col collapsed="false" customWidth="true" hidden="false" outlineLevel="0" max="3" min="3" style="0" width="17"/>
    <col collapsed="false" customWidth="true" hidden="false" outlineLevel="0" max="4" min="4" style="0" width="12"/>
    <col collapsed="false" customWidth="true" hidden="false" outlineLevel="0" max="5" min="5" style="0" width="18"/>
    <col collapsed="false" customWidth="true" hidden="false" outlineLevel="0" max="6" min="6" style="0" width="22"/>
    <col collapsed="false" customWidth="true" hidden="false" outlineLevel="0" max="8" min="7" style="0" width="13"/>
  </cols>
  <sheetData>
    <row r="1" customFormat="false" ht="24.45" hidden="false" customHeight="false" outlineLevel="0" collapsed="false">
      <c r="A1" s="6" t="s">
        <v>34</v>
      </c>
      <c r="B1" s="6"/>
      <c r="C1" s="6"/>
      <c r="D1" s="6"/>
      <c r="E1" s="6"/>
      <c r="F1" s="6"/>
    </row>
    <row r="3" customFormat="false" ht="15" hidden="false" customHeight="false" outlineLevel="0" collapsed="false">
      <c r="A3" s="7" t="s">
        <v>35</v>
      </c>
      <c r="B3" s="7"/>
      <c r="C3" s="8" t="n">
        <v>300</v>
      </c>
    </row>
    <row r="5" customFormat="false" ht="26.85" hidden="false" customHeight="false" outlineLevel="0" collapsed="false">
      <c r="A5" s="9" t="s">
        <v>36</v>
      </c>
      <c r="B5" s="9" t="s">
        <v>37</v>
      </c>
      <c r="C5" s="9" t="s">
        <v>38</v>
      </c>
      <c r="D5" s="9" t="s">
        <v>39</v>
      </c>
      <c r="E5" s="9" t="s">
        <v>40</v>
      </c>
      <c r="F5" s="9" t="s">
        <v>41</v>
      </c>
      <c r="H5" s="10" t="s">
        <v>42</v>
      </c>
      <c r="I5" s="10" t="s">
        <v>43</v>
      </c>
    </row>
    <row r="6" customFormat="false" ht="15" hidden="false" customHeight="false" outlineLevel="0" collapsed="false">
      <c r="A6" s="11" t="s">
        <v>44</v>
      </c>
      <c r="B6" s="11" t="s">
        <v>45</v>
      </c>
      <c r="C6" s="12" t="n">
        <v>4800</v>
      </c>
      <c r="D6" s="13" t="n">
        <v>24.99</v>
      </c>
      <c r="E6" s="12" t="n">
        <v>120</v>
      </c>
      <c r="F6" s="11" t="s">
        <v>46</v>
      </c>
      <c r="H6" s="14" t="n">
        <f aca="false">IF(A6="","",RANK(D6,$D$6:$D$20,0)+COUNTIF($D$6:D6,D6)-1)</f>
        <v>2</v>
      </c>
      <c r="I6" s="14" t="n">
        <f aca="false">IF(A6="","",RANK(C6,$C$6:$C$20,1)+COUNTIF($C$6:C6,C6)-1)</f>
        <v>3</v>
      </c>
    </row>
    <row r="7" customFormat="false" ht="15" hidden="false" customHeight="false" outlineLevel="0" collapsed="false">
      <c r="A7" s="11" t="s">
        <v>47</v>
      </c>
      <c r="B7" s="11" t="s">
        <v>45</v>
      </c>
      <c r="C7" s="12" t="n">
        <v>1200</v>
      </c>
      <c r="D7" s="13" t="n">
        <v>27.99</v>
      </c>
      <c r="E7" s="12" t="n">
        <v>45</v>
      </c>
      <c r="F7" s="11" t="s">
        <v>48</v>
      </c>
      <c r="H7" s="14" t="n">
        <f aca="false">IF(A7="","",RANK(D7,$D$6:$D$20,0)+COUNTIF($D$6:D7,D7)-1)</f>
        <v>1</v>
      </c>
      <c r="I7" s="14" t="n">
        <f aca="false">IF(A7="","",RANK(C7,$C$6:$C$20,1)+COUNTIF($C$6:C7,C7)-1)</f>
        <v>1</v>
      </c>
    </row>
    <row r="8" customFormat="false" ht="15" hidden="false" customHeight="false" outlineLevel="0" collapsed="false">
      <c r="A8" s="11" t="s">
        <v>49</v>
      </c>
      <c r="B8" s="11" t="s">
        <v>50</v>
      </c>
      <c r="C8" s="12" t="n">
        <v>11500</v>
      </c>
      <c r="D8" s="13" t="n">
        <v>6.5</v>
      </c>
      <c r="E8" s="12" t="n">
        <v>310</v>
      </c>
      <c r="F8" s="11"/>
      <c r="H8" s="14" t="n">
        <f aca="false">IF(A8="","",RANK(D8,$D$6:$D$20,0)+COUNTIF($D$6:D8,D8)-1)</f>
        <v>4</v>
      </c>
      <c r="I8" s="14" t="n">
        <f aca="false">IF(A8="","",RANK(C8,$C$6:$C$20,1)+COUNTIF($C$6:C8,C8)-1)</f>
        <v>4</v>
      </c>
    </row>
    <row r="9" customFormat="false" ht="15" hidden="false" customHeight="false" outlineLevel="0" collapsed="false">
      <c r="A9" s="11" t="s">
        <v>51</v>
      </c>
      <c r="B9" s="11" t="s">
        <v>51</v>
      </c>
      <c r="C9" s="12" t="n">
        <v>3200</v>
      </c>
      <c r="D9" s="13" t="n">
        <v>13.9</v>
      </c>
      <c r="E9" s="12" t="n">
        <v>95</v>
      </c>
      <c r="F9" s="11"/>
      <c r="H9" s="14" t="n">
        <f aca="false">IF(A9="","",RANK(D9,$D$6:$D$20,0)+COUNTIF($D$6:D9,D9)-1)</f>
        <v>3</v>
      </c>
      <c r="I9" s="14" t="n">
        <f aca="false">IF(A9="","",RANK(C9,$C$6:$C$20,1)+COUNTIF($C$6:C9,C9)-1)</f>
        <v>2</v>
      </c>
    </row>
    <row r="10" customFormat="false" ht="15" hidden="false" customHeight="false" outlineLevel="0" collapsed="false">
      <c r="A10" s="15"/>
      <c r="B10" s="15"/>
      <c r="C10" s="15"/>
      <c r="D10" s="15"/>
      <c r="E10" s="15"/>
      <c r="F10" s="15"/>
      <c r="H10" s="14" t="str">
        <f aca="false">IF(A10="","",RANK(D10,$D$6:$D$20,0)+COUNTIF($D$6:D10,D10)-1)</f>
        <v/>
      </c>
      <c r="I10" s="14" t="str">
        <f aca="false">IF(A10="","",RANK(C10,$C$6:$C$20,1)+COUNTIF($C$6:C10,C10)-1)</f>
        <v/>
      </c>
    </row>
    <row r="11" customFormat="false" ht="15" hidden="false" customHeight="false" outlineLevel="0" collapsed="false">
      <c r="A11" s="15"/>
      <c r="B11" s="15"/>
      <c r="C11" s="15"/>
      <c r="D11" s="15"/>
      <c r="E11" s="15"/>
      <c r="F11" s="15"/>
      <c r="H11" s="14" t="str">
        <f aca="false">IF(A11="","",RANK(D11,$D$6:$D$20,0)+COUNTIF($D$6:D11,D11)-1)</f>
        <v/>
      </c>
      <c r="I11" s="14" t="str">
        <f aca="false">IF(A11="","",RANK(C11,$C$6:$C$20,1)+COUNTIF($C$6:C11,C11)-1)</f>
        <v/>
      </c>
    </row>
    <row r="12" customFormat="false" ht="15" hidden="false" customHeight="false" outlineLevel="0" collapsed="false">
      <c r="A12" s="15"/>
      <c r="B12" s="15"/>
      <c r="C12" s="15"/>
      <c r="D12" s="15"/>
      <c r="E12" s="15"/>
      <c r="F12" s="15"/>
      <c r="H12" s="14" t="str">
        <f aca="false">IF(A12="","",RANK(D12,$D$6:$D$20,0)+COUNTIF($D$6:D12,D12)-1)</f>
        <v/>
      </c>
      <c r="I12" s="14" t="str">
        <f aca="false">IF(A12="","",RANK(C12,$C$6:$C$20,1)+COUNTIF($C$6:C12,C12)-1)</f>
        <v/>
      </c>
    </row>
    <row r="13" customFormat="false" ht="15" hidden="false" customHeight="false" outlineLevel="0" collapsed="false">
      <c r="A13" s="15"/>
      <c r="B13" s="15"/>
      <c r="C13" s="15"/>
      <c r="D13" s="15"/>
      <c r="E13" s="15"/>
      <c r="F13" s="15"/>
      <c r="H13" s="14" t="str">
        <f aca="false">IF(A13="","",RANK(D13,$D$6:$D$20,0)+COUNTIF($D$6:D13,D13)-1)</f>
        <v/>
      </c>
      <c r="I13" s="14" t="str">
        <f aca="false">IF(A13="","",RANK(C13,$C$6:$C$20,1)+COUNTIF($C$6:C13,C13)-1)</f>
        <v/>
      </c>
    </row>
    <row r="14" customFormat="false" ht="15" hidden="false" customHeight="false" outlineLevel="0" collapsed="false">
      <c r="A14" s="15"/>
      <c r="B14" s="15"/>
      <c r="C14" s="15"/>
      <c r="D14" s="15"/>
      <c r="E14" s="15"/>
      <c r="F14" s="15"/>
      <c r="H14" s="14" t="str">
        <f aca="false">IF(A14="","",RANK(D14,$D$6:$D$20,0)+COUNTIF($D$6:D14,D14)-1)</f>
        <v/>
      </c>
      <c r="I14" s="14" t="str">
        <f aca="false">IF(A14="","",RANK(C14,$C$6:$C$20,1)+COUNTIF($C$6:C14,C14)-1)</f>
        <v/>
      </c>
    </row>
    <row r="15" customFormat="false" ht="15" hidden="false" customHeight="false" outlineLevel="0" collapsed="false">
      <c r="A15" s="15"/>
      <c r="B15" s="15"/>
      <c r="C15" s="15"/>
      <c r="D15" s="15"/>
      <c r="E15" s="15"/>
      <c r="F15" s="15"/>
      <c r="H15" s="14" t="str">
        <f aca="false">IF(A15="","",RANK(D15,$D$6:$D$20,0)+COUNTIF($D$6:D15,D15)-1)</f>
        <v/>
      </c>
      <c r="I15" s="14" t="str">
        <f aca="false">IF(A15="","",RANK(C15,$C$6:$C$20,1)+COUNTIF($C$6:C15,C15)-1)</f>
        <v/>
      </c>
    </row>
    <row r="16" customFormat="false" ht="15" hidden="false" customHeight="false" outlineLevel="0" collapsed="false">
      <c r="A16" s="15"/>
      <c r="B16" s="15"/>
      <c r="C16" s="15"/>
      <c r="D16" s="15"/>
      <c r="E16" s="15"/>
      <c r="F16" s="15"/>
      <c r="H16" s="14" t="str">
        <f aca="false">IF(A16="","",RANK(D16,$D$6:$D$20,0)+COUNTIF($D$6:D16,D16)-1)</f>
        <v/>
      </c>
      <c r="I16" s="14" t="str">
        <f aca="false">IF(A16="","",RANK(C16,$C$6:$C$20,1)+COUNTIF($C$6:C16,C16)-1)</f>
        <v/>
      </c>
    </row>
    <row r="17" customFormat="false" ht="15" hidden="false" customHeight="false" outlineLevel="0" collapsed="false">
      <c r="A17" s="15"/>
      <c r="B17" s="15"/>
      <c r="C17" s="15"/>
      <c r="D17" s="15"/>
      <c r="E17" s="15"/>
      <c r="F17" s="15"/>
      <c r="H17" s="14" t="str">
        <f aca="false">IF(A17="","",RANK(D17,$D$6:$D$20,0)+COUNTIF($D$6:D17,D17)-1)</f>
        <v/>
      </c>
      <c r="I17" s="14" t="str">
        <f aca="false">IF(A17="","",RANK(C17,$C$6:$C$20,1)+COUNTIF($C$6:C17,C17)-1)</f>
        <v/>
      </c>
    </row>
    <row r="18" customFormat="false" ht="15" hidden="false" customHeight="false" outlineLevel="0" collapsed="false">
      <c r="A18" s="15"/>
      <c r="B18" s="15"/>
      <c r="C18" s="15"/>
      <c r="D18" s="15"/>
      <c r="E18" s="15"/>
      <c r="F18" s="15"/>
      <c r="H18" s="14" t="str">
        <f aca="false">IF(A18="","",RANK(D18,$D$6:$D$20,0)+COUNTIF($D$6:D18,D18)-1)</f>
        <v/>
      </c>
      <c r="I18" s="14" t="str">
        <f aca="false">IF(A18="","",RANK(C18,$C$6:$C$20,1)+COUNTIF($C$6:C18,C18)-1)</f>
        <v/>
      </c>
    </row>
    <row r="19" customFormat="false" ht="15" hidden="false" customHeight="false" outlineLevel="0" collapsed="false">
      <c r="A19" s="15"/>
      <c r="B19" s="15"/>
      <c r="C19" s="15"/>
      <c r="D19" s="15"/>
      <c r="E19" s="15"/>
      <c r="F19" s="15"/>
      <c r="H19" s="14" t="str">
        <f aca="false">IF(A19="","",RANK(D19,$D$6:$D$20,0)+COUNTIF($D$6:D19,D19)-1)</f>
        <v/>
      </c>
      <c r="I19" s="14" t="str">
        <f aca="false">IF(A19="","",RANK(C19,$C$6:$C$20,1)+COUNTIF($C$6:C19,C19)-1)</f>
        <v/>
      </c>
    </row>
    <row r="20" customFormat="false" ht="15" hidden="false" customHeight="false" outlineLevel="0" collapsed="false">
      <c r="A20" s="15"/>
      <c r="B20" s="15"/>
      <c r="C20" s="15"/>
      <c r="D20" s="15"/>
      <c r="E20" s="15"/>
      <c r="F20" s="15"/>
      <c r="H20" s="14" t="str">
        <f aca="false">IF(A20="","",RANK(D20,$D$6:$D$20,0)+COUNTIF($D$6:D20,D20)-1)</f>
        <v/>
      </c>
      <c r="I20" s="14" t="str">
        <f aca="false">IF(A20="","",RANK(C20,$C$6:$C$20,1)+COUNTIF($C$6:C20,C20)-1)</f>
        <v/>
      </c>
    </row>
    <row r="23" customFormat="false" ht="16.15" hidden="false" customHeight="false" outlineLevel="0" collapsed="false">
      <c r="A23" s="16" t="s">
        <v>52</v>
      </c>
      <c r="C23" s="17" t="n">
        <f aca="false">SUM(C6:C20)</f>
        <v>20700</v>
      </c>
      <c r="E23" s="17" t="n">
        <f aca="false">SUM(E6:E20)</f>
        <v>570</v>
      </c>
    </row>
  </sheetData>
  <mergeCells count="2">
    <mergeCell ref="A1:F1"/>
    <mergeCell ref="A3:B3"/>
  </mergeCells>
  <dataValidations count="1">
    <dataValidation allowBlank="true" errorStyle="stop" operator="between" showDropDown="false" showErrorMessage="false" showInputMessage="false" sqref="B6:B20" type="list">
      <formula1>"Credit Card,Auto Loan,Personal Loan,Student Loan,Medical Debt,Other"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33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3"/>
    <col collapsed="false" customWidth="true" hidden="false" outlineLevel="0" max="2" min="2" style="0" width="24"/>
    <col collapsed="false" customWidth="true" hidden="false" outlineLevel="0" max="3" min="3" style="0" width="14"/>
    <col collapsed="false" customWidth="true" hidden="false" outlineLevel="0" max="4" min="4" style="0" width="11"/>
    <col collapsed="false" customWidth="true" hidden="false" outlineLevel="0" max="5" min="5" style="0" width="18"/>
    <col collapsed="false" customWidth="true" hidden="false" outlineLevel="0" max="6" min="6" style="0" width="30"/>
  </cols>
  <sheetData>
    <row r="1" customFormat="false" ht="24.45" hidden="false" customHeight="false" outlineLevel="0" collapsed="false">
      <c r="A1" s="6" t="s">
        <v>53</v>
      </c>
      <c r="B1" s="6"/>
      <c r="C1" s="6"/>
      <c r="D1" s="6"/>
      <c r="E1" s="6"/>
      <c r="F1" s="6"/>
    </row>
    <row r="2" customFormat="false" ht="15" hidden="false" customHeight="false" outlineLevel="0" collapsed="false">
      <c r="A2" s="2" t="s">
        <v>54</v>
      </c>
      <c r="B2" s="2"/>
      <c r="C2" s="2"/>
      <c r="D2" s="2"/>
      <c r="E2" s="2"/>
      <c r="F2" s="2"/>
    </row>
    <row r="4" customFormat="false" ht="26.85" hidden="false" customHeight="false" outlineLevel="0" collapsed="false">
      <c r="A4" s="9" t="s">
        <v>55</v>
      </c>
      <c r="B4" s="9" t="s">
        <v>36</v>
      </c>
      <c r="C4" s="9" t="s">
        <v>56</v>
      </c>
      <c r="D4" s="9" t="s">
        <v>39</v>
      </c>
      <c r="E4" s="9" t="s">
        <v>40</v>
      </c>
      <c r="F4" s="9" t="s">
        <v>57</v>
      </c>
    </row>
    <row r="5" customFormat="false" ht="15" hidden="false" customHeight="false" outlineLevel="0" collapsed="false">
      <c r="A5" s="11" t="n">
        <f aca="false">IF(B5="","",1)</f>
        <v>1</v>
      </c>
      <c r="B5" s="11" t="str">
        <f aca="false">IFERROR(INDEX(Debts!$A$6:$A$20,MATCH(1,Debts!$H$6:$H$20,0)),"")</f>
        <v>Credit Card — Store Card</v>
      </c>
      <c r="C5" s="18" t="n">
        <f aca="false">IFERROR(VLOOKUP(B5,Debts!$A$6:$E$20,3,0),"")</f>
        <v>1200</v>
      </c>
      <c r="D5" s="19" t="n">
        <f aca="false">IFERROR(VLOOKUP(B5,Debts!$A$6:$E$20,4,0),"")</f>
        <v>27.99</v>
      </c>
      <c r="E5" s="18" t="n">
        <f aca="false">IFERROR(VLOOKUP(B5,Debts!$A$6:$E$20,5,0),"")</f>
        <v>45</v>
      </c>
      <c r="F5" s="11" t="str">
        <f aca="false">IF(B5="","",IF(1=1,"PAY EXTRA HERE FIRST","Minimum only until #"&amp;(1-1)&amp;" is paid off"))</f>
        <v>PAY EXTRA HERE FIRST</v>
      </c>
    </row>
    <row r="6" customFormat="false" ht="15" hidden="false" customHeight="false" outlineLevel="0" collapsed="false">
      <c r="A6" s="11" t="n">
        <f aca="false">IF(B6="","",2)</f>
        <v>2</v>
      </c>
      <c r="B6" s="11" t="str">
        <f aca="false">IFERROR(INDEX(Debts!$A$6:$A$20,MATCH(2,Debts!$H$6:$H$20,0)),"")</f>
        <v>Credit Card — Visa</v>
      </c>
      <c r="C6" s="18" t="n">
        <f aca="false">IFERROR(VLOOKUP(B6,Debts!$A$6:$E$20,3,0),"")</f>
        <v>4800</v>
      </c>
      <c r="D6" s="19" t="n">
        <f aca="false">IFERROR(VLOOKUP(B6,Debts!$A$6:$E$20,4,0),"")</f>
        <v>24.99</v>
      </c>
      <c r="E6" s="18" t="n">
        <f aca="false">IFERROR(VLOOKUP(B6,Debts!$A$6:$E$20,5,0),"")</f>
        <v>120</v>
      </c>
      <c r="F6" s="11" t="str">
        <f aca="false">IF(B6="","",IF(2=1,"PAY EXTRA HERE FIRST","Minimum only until #"&amp;(2-1)&amp;" is paid off"))</f>
        <v>Minimum only until #1 is paid off</v>
      </c>
    </row>
    <row r="7" customFormat="false" ht="15" hidden="false" customHeight="false" outlineLevel="0" collapsed="false">
      <c r="A7" s="11" t="n">
        <f aca="false">IF(B7="","",3)</f>
        <v>3</v>
      </c>
      <c r="B7" s="11" t="str">
        <f aca="false">IFERROR(INDEX(Debts!$A$6:$A$20,MATCH(3,Debts!$H$6:$H$20,0)),"")</f>
        <v>Personal Loan</v>
      </c>
      <c r="C7" s="18" t="n">
        <f aca="false">IFERROR(VLOOKUP(B7,Debts!$A$6:$E$20,3,0),"")</f>
        <v>3200</v>
      </c>
      <c r="D7" s="19" t="n">
        <f aca="false">IFERROR(VLOOKUP(B7,Debts!$A$6:$E$20,4,0),"")</f>
        <v>13.9</v>
      </c>
      <c r="E7" s="18" t="n">
        <f aca="false">IFERROR(VLOOKUP(B7,Debts!$A$6:$E$20,5,0),"")</f>
        <v>95</v>
      </c>
      <c r="F7" s="11" t="str">
        <f aca="false">IF(B7="","",IF(3=1,"PAY EXTRA HERE FIRST","Minimum only until #"&amp;(3-1)&amp;" is paid off"))</f>
        <v>Minimum only until #2 is paid off</v>
      </c>
    </row>
    <row r="8" customFormat="false" ht="15" hidden="false" customHeight="false" outlineLevel="0" collapsed="false">
      <c r="A8" s="11" t="n">
        <f aca="false">IF(B8="","",4)</f>
        <v>4</v>
      </c>
      <c r="B8" s="11" t="str">
        <f aca="false">IFERROR(INDEX(Debts!$A$6:$A$20,MATCH(4,Debts!$H$6:$H$20,0)),"")</f>
        <v>Car Loan</v>
      </c>
      <c r="C8" s="18" t="n">
        <f aca="false">IFERROR(VLOOKUP(B8,Debts!$A$6:$E$20,3,0),"")</f>
        <v>11500</v>
      </c>
      <c r="D8" s="19" t="n">
        <f aca="false">IFERROR(VLOOKUP(B8,Debts!$A$6:$E$20,4,0),"")</f>
        <v>6.5</v>
      </c>
      <c r="E8" s="18" t="n">
        <f aca="false">IFERROR(VLOOKUP(B8,Debts!$A$6:$E$20,5,0),"")</f>
        <v>310</v>
      </c>
      <c r="F8" s="11" t="str">
        <f aca="false">IF(B8="","",IF(4=1,"PAY EXTRA HERE FIRST","Minimum only until #"&amp;(4-1)&amp;" is paid off"))</f>
        <v>Minimum only until #3 is paid off</v>
      </c>
    </row>
    <row r="9" customFormat="false" ht="15" hidden="false" customHeight="false" outlineLevel="0" collapsed="false">
      <c r="A9" s="11" t="str">
        <f aca="false">IF(B9="","",5)</f>
        <v/>
      </c>
      <c r="B9" s="11" t="str">
        <f aca="false">IFERROR(INDEX(Debts!$A$6:$A$20,MATCH(5,Debts!$H$6:$H$20,0)),"")</f>
        <v/>
      </c>
      <c r="C9" s="18" t="str">
        <f aca="false">IFERROR(VLOOKUP(B9,Debts!$A$6:$E$20,3,0),"")</f>
        <v/>
      </c>
      <c r="D9" s="19" t="str">
        <f aca="false">IFERROR(VLOOKUP(B9,Debts!$A$6:$E$20,4,0),"")</f>
        <v/>
      </c>
      <c r="E9" s="18" t="str">
        <f aca="false">IFERROR(VLOOKUP(B9,Debts!$A$6:$E$20,5,0),"")</f>
        <v/>
      </c>
      <c r="F9" s="11" t="str">
        <f aca="false">IF(B9="","",IF(5=1,"PAY EXTRA HERE FIRST","Minimum only until #"&amp;(5-1)&amp;" is paid off"))</f>
        <v/>
      </c>
    </row>
    <row r="10" customFormat="false" ht="15" hidden="false" customHeight="false" outlineLevel="0" collapsed="false">
      <c r="A10" s="11" t="str">
        <f aca="false">IF(B10="","",6)</f>
        <v/>
      </c>
      <c r="B10" s="11" t="str">
        <f aca="false">IFERROR(INDEX(Debts!$A$6:$A$20,MATCH(6,Debts!$H$6:$H$20,0)),"")</f>
        <v/>
      </c>
      <c r="C10" s="18" t="str">
        <f aca="false">IFERROR(VLOOKUP(B10,Debts!$A$6:$E$20,3,0),"")</f>
        <v/>
      </c>
      <c r="D10" s="19" t="str">
        <f aca="false">IFERROR(VLOOKUP(B10,Debts!$A$6:$E$20,4,0),"")</f>
        <v/>
      </c>
      <c r="E10" s="18" t="str">
        <f aca="false">IFERROR(VLOOKUP(B10,Debts!$A$6:$E$20,5,0),"")</f>
        <v/>
      </c>
      <c r="F10" s="11" t="str">
        <f aca="false">IF(B10="","",IF(6=1,"PAY EXTRA HERE FIRST","Minimum only until #"&amp;(6-1)&amp;" is paid off"))</f>
        <v/>
      </c>
    </row>
    <row r="11" customFormat="false" ht="15" hidden="false" customHeight="false" outlineLevel="0" collapsed="false">
      <c r="A11" s="11" t="str">
        <f aca="false">IF(B11="","",7)</f>
        <v/>
      </c>
      <c r="B11" s="11" t="str">
        <f aca="false">IFERROR(INDEX(Debts!$A$6:$A$20,MATCH(7,Debts!$H$6:$H$20,0)),"")</f>
        <v/>
      </c>
      <c r="C11" s="18" t="str">
        <f aca="false">IFERROR(VLOOKUP(B11,Debts!$A$6:$E$20,3,0),"")</f>
        <v/>
      </c>
      <c r="D11" s="19" t="str">
        <f aca="false">IFERROR(VLOOKUP(B11,Debts!$A$6:$E$20,4,0),"")</f>
        <v/>
      </c>
      <c r="E11" s="18" t="str">
        <f aca="false">IFERROR(VLOOKUP(B11,Debts!$A$6:$E$20,5,0),"")</f>
        <v/>
      </c>
      <c r="F11" s="11" t="str">
        <f aca="false">IF(B11="","",IF(7=1,"PAY EXTRA HERE FIRST","Minimum only until #"&amp;(7-1)&amp;" is paid off"))</f>
        <v/>
      </c>
    </row>
    <row r="12" customFormat="false" ht="15" hidden="false" customHeight="false" outlineLevel="0" collapsed="false">
      <c r="A12" s="11" t="str">
        <f aca="false">IF(B12="","",8)</f>
        <v/>
      </c>
      <c r="B12" s="11" t="str">
        <f aca="false">IFERROR(INDEX(Debts!$A$6:$A$20,MATCH(8,Debts!$H$6:$H$20,0)),"")</f>
        <v/>
      </c>
      <c r="C12" s="18" t="str">
        <f aca="false">IFERROR(VLOOKUP(B12,Debts!$A$6:$E$20,3,0),"")</f>
        <v/>
      </c>
      <c r="D12" s="19" t="str">
        <f aca="false">IFERROR(VLOOKUP(B12,Debts!$A$6:$E$20,4,0),"")</f>
        <v/>
      </c>
      <c r="E12" s="18" t="str">
        <f aca="false">IFERROR(VLOOKUP(B12,Debts!$A$6:$E$20,5,0),"")</f>
        <v/>
      </c>
      <c r="F12" s="11" t="str">
        <f aca="false">IF(B12="","",IF(8=1,"PAY EXTRA HERE FIRST","Minimum only until #"&amp;(8-1)&amp;" is paid off"))</f>
        <v/>
      </c>
    </row>
    <row r="13" customFormat="false" ht="15" hidden="false" customHeight="false" outlineLevel="0" collapsed="false">
      <c r="A13" s="11" t="str">
        <f aca="false">IF(B13="","",9)</f>
        <v/>
      </c>
      <c r="B13" s="11" t="str">
        <f aca="false">IFERROR(INDEX(Debts!$A$6:$A$20,MATCH(9,Debts!$H$6:$H$20,0)),"")</f>
        <v/>
      </c>
      <c r="C13" s="18" t="str">
        <f aca="false">IFERROR(VLOOKUP(B13,Debts!$A$6:$E$20,3,0),"")</f>
        <v/>
      </c>
      <c r="D13" s="19" t="str">
        <f aca="false">IFERROR(VLOOKUP(B13,Debts!$A$6:$E$20,4,0),"")</f>
        <v/>
      </c>
      <c r="E13" s="18" t="str">
        <f aca="false">IFERROR(VLOOKUP(B13,Debts!$A$6:$E$20,5,0),"")</f>
        <v/>
      </c>
      <c r="F13" s="11" t="str">
        <f aca="false">IF(B13="","",IF(9=1,"PAY EXTRA HERE FIRST","Minimum only until #"&amp;(9-1)&amp;" is paid off"))</f>
        <v/>
      </c>
    </row>
    <row r="14" customFormat="false" ht="15" hidden="false" customHeight="false" outlineLevel="0" collapsed="false">
      <c r="A14" s="11" t="str">
        <f aca="false">IF(B14="","",10)</f>
        <v/>
      </c>
      <c r="B14" s="11" t="str">
        <f aca="false">IFERROR(INDEX(Debts!$A$6:$A$20,MATCH(10,Debts!$H$6:$H$20,0)),"")</f>
        <v/>
      </c>
      <c r="C14" s="18" t="str">
        <f aca="false">IFERROR(VLOOKUP(B14,Debts!$A$6:$E$20,3,0),"")</f>
        <v/>
      </c>
      <c r="D14" s="19" t="str">
        <f aca="false">IFERROR(VLOOKUP(B14,Debts!$A$6:$E$20,4,0),"")</f>
        <v/>
      </c>
      <c r="E14" s="18" t="str">
        <f aca="false">IFERROR(VLOOKUP(B14,Debts!$A$6:$E$20,5,0),"")</f>
        <v/>
      </c>
      <c r="F14" s="11" t="str">
        <f aca="false">IF(B14="","",IF(10=1,"PAY EXTRA HERE FIRST","Minimum only until #"&amp;(10-1)&amp;" is paid off"))</f>
        <v/>
      </c>
    </row>
    <row r="15" customFormat="false" ht="15" hidden="false" customHeight="false" outlineLevel="0" collapsed="false">
      <c r="A15" s="11" t="str">
        <f aca="false">IF(B15="","",11)</f>
        <v/>
      </c>
      <c r="B15" s="11" t="str">
        <f aca="false">IFERROR(INDEX(Debts!$A$6:$A$20,MATCH(11,Debts!$H$6:$H$20,0)),"")</f>
        <v/>
      </c>
      <c r="C15" s="18" t="str">
        <f aca="false">IFERROR(VLOOKUP(B15,Debts!$A$6:$E$20,3,0),"")</f>
        <v/>
      </c>
      <c r="D15" s="19" t="str">
        <f aca="false">IFERROR(VLOOKUP(B15,Debts!$A$6:$E$20,4,0),"")</f>
        <v/>
      </c>
      <c r="E15" s="18" t="str">
        <f aca="false">IFERROR(VLOOKUP(B15,Debts!$A$6:$E$20,5,0),"")</f>
        <v/>
      </c>
      <c r="F15" s="11" t="str">
        <f aca="false">IF(B15="","",IF(11=1,"PAY EXTRA HERE FIRST","Minimum only until #"&amp;(11-1)&amp;" is paid off"))</f>
        <v/>
      </c>
    </row>
    <row r="16" customFormat="false" ht="15" hidden="false" customHeight="false" outlineLevel="0" collapsed="false">
      <c r="A16" s="11" t="str">
        <f aca="false">IF(B16="","",12)</f>
        <v/>
      </c>
      <c r="B16" s="11" t="str">
        <f aca="false">IFERROR(INDEX(Debts!$A$6:$A$20,MATCH(12,Debts!$H$6:$H$20,0)),"")</f>
        <v/>
      </c>
      <c r="C16" s="18" t="str">
        <f aca="false">IFERROR(VLOOKUP(B16,Debts!$A$6:$E$20,3,0),"")</f>
        <v/>
      </c>
      <c r="D16" s="19" t="str">
        <f aca="false">IFERROR(VLOOKUP(B16,Debts!$A$6:$E$20,4,0),"")</f>
        <v/>
      </c>
      <c r="E16" s="18" t="str">
        <f aca="false">IFERROR(VLOOKUP(B16,Debts!$A$6:$E$20,5,0),"")</f>
        <v/>
      </c>
      <c r="F16" s="11" t="str">
        <f aca="false">IF(B16="","",IF(12=1,"PAY EXTRA HERE FIRST","Minimum only until #"&amp;(12-1)&amp;" is paid off"))</f>
        <v/>
      </c>
    </row>
    <row r="17" customFormat="false" ht="15" hidden="false" customHeight="false" outlineLevel="0" collapsed="false">
      <c r="A17" s="11" t="str">
        <f aca="false">IF(B17="","",13)</f>
        <v/>
      </c>
      <c r="B17" s="11" t="str">
        <f aca="false">IFERROR(INDEX(Debts!$A$6:$A$20,MATCH(13,Debts!$H$6:$H$20,0)),"")</f>
        <v/>
      </c>
      <c r="C17" s="18" t="str">
        <f aca="false">IFERROR(VLOOKUP(B17,Debts!$A$6:$E$20,3,0),"")</f>
        <v/>
      </c>
      <c r="D17" s="19" t="str">
        <f aca="false">IFERROR(VLOOKUP(B17,Debts!$A$6:$E$20,4,0),"")</f>
        <v/>
      </c>
      <c r="E17" s="18" t="str">
        <f aca="false">IFERROR(VLOOKUP(B17,Debts!$A$6:$E$20,5,0),"")</f>
        <v/>
      </c>
      <c r="F17" s="11" t="str">
        <f aca="false">IF(B17="","",IF(13=1,"PAY EXTRA HERE FIRST","Minimum only until #"&amp;(13-1)&amp;" is paid off"))</f>
        <v/>
      </c>
    </row>
    <row r="18" customFormat="false" ht="15" hidden="false" customHeight="false" outlineLevel="0" collapsed="false">
      <c r="A18" s="11" t="str">
        <f aca="false">IF(B18="","",14)</f>
        <v/>
      </c>
      <c r="B18" s="11" t="str">
        <f aca="false">IFERROR(INDEX(Debts!$A$6:$A$20,MATCH(14,Debts!$H$6:$H$20,0)),"")</f>
        <v/>
      </c>
      <c r="C18" s="18" t="str">
        <f aca="false">IFERROR(VLOOKUP(B18,Debts!$A$6:$E$20,3,0),"")</f>
        <v/>
      </c>
      <c r="D18" s="19" t="str">
        <f aca="false">IFERROR(VLOOKUP(B18,Debts!$A$6:$E$20,4,0),"")</f>
        <v/>
      </c>
      <c r="E18" s="18" t="str">
        <f aca="false">IFERROR(VLOOKUP(B18,Debts!$A$6:$E$20,5,0),"")</f>
        <v/>
      </c>
      <c r="F18" s="11" t="str">
        <f aca="false">IF(B18="","",IF(14=1,"PAY EXTRA HERE FIRST","Minimum only until #"&amp;(14-1)&amp;" is paid off"))</f>
        <v/>
      </c>
    </row>
    <row r="19" customFormat="false" ht="15" hidden="false" customHeight="false" outlineLevel="0" collapsed="false">
      <c r="A19" s="11" t="str">
        <f aca="false">IF(B19="","",15)</f>
        <v/>
      </c>
      <c r="B19" s="11" t="str">
        <f aca="false">IFERROR(INDEX(Debts!$A$6:$A$20,MATCH(15,Debts!$H$6:$H$20,0)),"")</f>
        <v/>
      </c>
      <c r="C19" s="18" t="str">
        <f aca="false">IFERROR(VLOOKUP(B19,Debts!$A$6:$E$20,3,0),"")</f>
        <v/>
      </c>
      <c r="D19" s="19" t="str">
        <f aca="false">IFERROR(VLOOKUP(B19,Debts!$A$6:$E$20,4,0),"")</f>
        <v/>
      </c>
      <c r="E19" s="18" t="str">
        <f aca="false">IFERROR(VLOOKUP(B19,Debts!$A$6:$E$20,5,0),"")</f>
        <v/>
      </c>
      <c r="F19" s="11" t="str">
        <f aca="false">IF(B19="","",IF(15=1,"PAY EXTRA HERE FIRST","Minimum only until #"&amp;(15-1)&amp;" is paid off"))</f>
        <v/>
      </c>
    </row>
    <row r="20" customFormat="false" ht="15" hidden="false" customHeight="false" outlineLevel="0" collapsed="false">
      <c r="A20" s="11" t="str">
        <f aca="false">IF(B20="","",16)</f>
        <v/>
      </c>
      <c r="B20" s="11" t="str">
        <f aca="false">IFERROR(INDEX(Debts!$A$6:$A$20,MATCH(16,Debts!$H$6:$H$20,0)),"")</f>
        <v/>
      </c>
      <c r="C20" s="18" t="str">
        <f aca="false">IFERROR(VLOOKUP(B20,Debts!$A$6:$E$20,3,0),"")</f>
        <v/>
      </c>
      <c r="D20" s="19" t="str">
        <f aca="false">IFERROR(VLOOKUP(B20,Debts!$A$6:$E$20,4,0),"")</f>
        <v/>
      </c>
      <c r="E20" s="18" t="str">
        <f aca="false">IFERROR(VLOOKUP(B20,Debts!$A$6:$E$20,5,0),"")</f>
        <v/>
      </c>
      <c r="F20" s="11" t="str">
        <f aca="false">IF(B20="","",IF(16=1,"PAY EXTRA HERE FIRST","Minimum only until #"&amp;(16-1)&amp;" is paid off"))</f>
        <v/>
      </c>
    </row>
    <row r="21" customFormat="false" ht="15" hidden="false" customHeight="false" outlineLevel="0" collapsed="false">
      <c r="A21" s="11" t="str">
        <f aca="false">IF(B21="","",17)</f>
        <v/>
      </c>
      <c r="B21" s="11" t="str">
        <f aca="false">IFERROR(INDEX(Debts!$A$6:$A$20,MATCH(17,Debts!$H$6:$H$20,0)),"")</f>
        <v/>
      </c>
      <c r="C21" s="18" t="str">
        <f aca="false">IFERROR(VLOOKUP(B21,Debts!$A$6:$E$20,3,0),"")</f>
        <v/>
      </c>
      <c r="D21" s="19" t="str">
        <f aca="false">IFERROR(VLOOKUP(B21,Debts!$A$6:$E$20,4,0),"")</f>
        <v/>
      </c>
      <c r="E21" s="18" t="str">
        <f aca="false">IFERROR(VLOOKUP(B21,Debts!$A$6:$E$20,5,0),"")</f>
        <v/>
      </c>
      <c r="F21" s="11" t="str">
        <f aca="false">IF(B21="","",IF(17=1,"PAY EXTRA HERE FIRST","Minimum only until #"&amp;(17-1)&amp;" is paid off"))</f>
        <v/>
      </c>
    </row>
    <row r="22" customFormat="false" ht="15" hidden="false" customHeight="false" outlineLevel="0" collapsed="false">
      <c r="A22" s="11" t="str">
        <f aca="false">IF(B22="","",18)</f>
        <v/>
      </c>
      <c r="B22" s="11" t="str">
        <f aca="false">IFERROR(INDEX(Debts!$A$6:$A$20,MATCH(18,Debts!$H$6:$H$20,0)),"")</f>
        <v/>
      </c>
      <c r="C22" s="18" t="str">
        <f aca="false">IFERROR(VLOOKUP(B22,Debts!$A$6:$E$20,3,0),"")</f>
        <v/>
      </c>
      <c r="D22" s="19" t="str">
        <f aca="false">IFERROR(VLOOKUP(B22,Debts!$A$6:$E$20,4,0),"")</f>
        <v/>
      </c>
      <c r="E22" s="18" t="str">
        <f aca="false">IFERROR(VLOOKUP(B22,Debts!$A$6:$E$20,5,0),"")</f>
        <v/>
      </c>
      <c r="F22" s="11" t="str">
        <f aca="false">IF(B22="","",IF(18=1,"PAY EXTRA HERE FIRST","Minimum only until #"&amp;(18-1)&amp;" is paid off"))</f>
        <v/>
      </c>
    </row>
    <row r="23" customFormat="false" ht="15" hidden="false" customHeight="false" outlineLevel="0" collapsed="false">
      <c r="A23" s="11" t="str">
        <f aca="false">IF(B23="","",19)</f>
        <v/>
      </c>
      <c r="B23" s="11" t="str">
        <f aca="false">IFERROR(INDEX(Debts!$A$6:$A$20,MATCH(19,Debts!$H$6:$H$20,0)),"")</f>
        <v/>
      </c>
      <c r="C23" s="18" t="str">
        <f aca="false">IFERROR(VLOOKUP(B23,Debts!$A$6:$E$20,3,0),"")</f>
        <v/>
      </c>
      <c r="D23" s="19" t="str">
        <f aca="false">IFERROR(VLOOKUP(B23,Debts!$A$6:$E$20,4,0),"")</f>
        <v/>
      </c>
      <c r="E23" s="18" t="str">
        <f aca="false">IFERROR(VLOOKUP(B23,Debts!$A$6:$E$20,5,0),"")</f>
        <v/>
      </c>
      <c r="F23" s="11" t="str">
        <f aca="false">IF(B23="","",IF(19=1,"PAY EXTRA HERE FIRST","Minimum only until #"&amp;(19-1)&amp;" is paid off"))</f>
        <v/>
      </c>
    </row>
    <row r="24" customFormat="false" ht="15" hidden="false" customHeight="false" outlineLevel="0" collapsed="false">
      <c r="A24" s="11" t="str">
        <f aca="false">IF(B24="","",20)</f>
        <v/>
      </c>
      <c r="B24" s="11" t="str">
        <f aca="false">IFERROR(INDEX(Debts!$A$6:$A$20,MATCH(20,Debts!$H$6:$H$20,0)),"")</f>
        <v/>
      </c>
      <c r="C24" s="18" t="str">
        <f aca="false">IFERROR(VLOOKUP(B24,Debts!$A$6:$E$20,3,0),"")</f>
        <v/>
      </c>
      <c r="D24" s="19" t="str">
        <f aca="false">IFERROR(VLOOKUP(B24,Debts!$A$6:$E$20,4,0),"")</f>
        <v/>
      </c>
      <c r="E24" s="18" t="str">
        <f aca="false">IFERROR(VLOOKUP(B24,Debts!$A$6:$E$20,5,0),"")</f>
        <v/>
      </c>
      <c r="F24" s="11" t="str">
        <f aca="false">IF(B24="","",IF(20=1,"PAY EXTRA HERE FIRST","Minimum only until #"&amp;(20-1)&amp;" is paid off"))</f>
        <v/>
      </c>
    </row>
    <row r="27" customFormat="false" ht="16.15" hidden="false" customHeight="false" outlineLevel="0" collapsed="false">
      <c r="A27" s="20" t="s">
        <v>58</v>
      </c>
      <c r="B27" s="20"/>
      <c r="C27" s="20"/>
      <c r="D27" s="20"/>
      <c r="E27" s="20"/>
      <c r="F27" s="20"/>
    </row>
    <row r="28" customFormat="false" ht="15" hidden="false" customHeight="false" outlineLevel="0" collapsed="false">
      <c r="A28" s="4" t="s">
        <v>59</v>
      </c>
      <c r="C28" s="21" t="n">
        <f aca="false">Debts!C23</f>
        <v>20700</v>
      </c>
    </row>
    <row r="29" customFormat="false" ht="15" hidden="false" customHeight="false" outlineLevel="0" collapsed="false">
      <c r="A29" s="4" t="s">
        <v>60</v>
      </c>
      <c r="C29" s="21" t="n">
        <f aca="false">Debts!E23</f>
        <v>570</v>
      </c>
    </row>
    <row r="30" customFormat="false" ht="15" hidden="false" customHeight="false" outlineLevel="0" collapsed="false">
      <c r="A30" s="4" t="s">
        <v>61</v>
      </c>
      <c r="C30" s="21" t="n">
        <f aca="false">Debts!C3</f>
        <v>300</v>
      </c>
    </row>
    <row r="31" customFormat="false" ht="15" hidden="false" customHeight="false" outlineLevel="0" collapsed="false">
      <c r="A31" s="4" t="s">
        <v>62</v>
      </c>
      <c r="C31" s="21" t="n">
        <f aca="false">C29+C30</f>
        <v>870</v>
      </c>
    </row>
    <row r="32" customFormat="false" ht="15" hidden="false" customHeight="false" outlineLevel="0" collapsed="false">
      <c r="A32" s="4" t="s">
        <v>63</v>
      </c>
      <c r="C32" s="22" t="n">
        <f aca="false">IF(C31&gt;0,ROUNDUP(C28/C31*1.15,0),"")</f>
        <v>28</v>
      </c>
    </row>
    <row r="33" customFormat="false" ht="15" hidden="false" customHeight="false" outlineLevel="0" collapsed="false">
      <c r="A33" s="0" t="s">
        <v>64</v>
      </c>
      <c r="C33" s="2" t="s">
        <v>65</v>
      </c>
      <c r="D33" s="2"/>
      <c r="E33" s="2"/>
      <c r="F33" s="2"/>
    </row>
  </sheetData>
  <mergeCells count="4">
    <mergeCell ref="A1:F1"/>
    <mergeCell ref="A2:F2"/>
    <mergeCell ref="A27:F27"/>
    <mergeCell ref="C33:F33"/>
  </mergeCells>
  <conditionalFormatting sqref="F5:F24">
    <cfRule type="expression" priority="2" aboveAverage="0" equalAverage="0" bottom="0" percent="0" rank="0" text="" dxfId="0">
      <formula>F5="PAY EXTRA HERE FIRST"</formula>
    </cfRule>
  </conditionalFormatting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33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3"/>
    <col collapsed="false" customWidth="true" hidden="false" outlineLevel="0" max="2" min="2" style="0" width="24"/>
    <col collapsed="false" customWidth="true" hidden="false" outlineLevel="0" max="3" min="3" style="0" width="14"/>
    <col collapsed="false" customWidth="true" hidden="false" outlineLevel="0" max="4" min="4" style="0" width="11"/>
    <col collapsed="false" customWidth="true" hidden="false" outlineLevel="0" max="5" min="5" style="0" width="18"/>
    <col collapsed="false" customWidth="true" hidden="false" outlineLevel="0" max="6" min="6" style="0" width="30"/>
  </cols>
  <sheetData>
    <row r="1" customFormat="false" ht="24.45" hidden="false" customHeight="false" outlineLevel="0" collapsed="false">
      <c r="A1" s="6" t="s">
        <v>66</v>
      </c>
      <c r="B1" s="6"/>
      <c r="C1" s="6"/>
      <c r="D1" s="6"/>
      <c r="E1" s="6"/>
      <c r="F1" s="6"/>
    </row>
    <row r="2" customFormat="false" ht="15" hidden="false" customHeight="false" outlineLevel="0" collapsed="false">
      <c r="A2" s="2" t="s">
        <v>67</v>
      </c>
      <c r="B2" s="2"/>
      <c r="C2" s="2"/>
      <c r="D2" s="2"/>
      <c r="E2" s="2"/>
      <c r="F2" s="2"/>
    </row>
    <row r="4" customFormat="false" ht="26.85" hidden="false" customHeight="false" outlineLevel="0" collapsed="false">
      <c r="A4" s="9" t="s">
        <v>55</v>
      </c>
      <c r="B4" s="9" t="s">
        <v>36</v>
      </c>
      <c r="C4" s="9" t="s">
        <v>56</v>
      </c>
      <c r="D4" s="9" t="s">
        <v>39</v>
      </c>
      <c r="E4" s="9" t="s">
        <v>40</v>
      </c>
      <c r="F4" s="9" t="s">
        <v>57</v>
      </c>
    </row>
    <row r="5" customFormat="false" ht="15" hidden="false" customHeight="false" outlineLevel="0" collapsed="false">
      <c r="A5" s="11" t="n">
        <f aca="false">IF(B5="","",1)</f>
        <v>1</v>
      </c>
      <c r="B5" s="11" t="str">
        <f aca="false">IFERROR(INDEX(Debts!$A$6:$A$20,MATCH(1,Debts!$I$6:$I$20,0)),"")</f>
        <v>Credit Card — Store Card</v>
      </c>
      <c r="C5" s="18" t="n">
        <f aca="false">IFERROR(VLOOKUP(B5,Debts!$A$6:$E$20,3,0),"")</f>
        <v>1200</v>
      </c>
      <c r="D5" s="19" t="n">
        <f aca="false">IFERROR(VLOOKUP(B5,Debts!$A$6:$E$20,4,0),"")</f>
        <v>27.99</v>
      </c>
      <c r="E5" s="18" t="n">
        <f aca="false">IFERROR(VLOOKUP(B5,Debts!$A$6:$E$20,5,0),"")</f>
        <v>45</v>
      </c>
      <c r="F5" s="11" t="str">
        <f aca="false">IF(B5="","",IF(1=1,"PAY EXTRA HERE FIRST","Minimum only until #"&amp;(1-1)&amp;" is paid off"))</f>
        <v>PAY EXTRA HERE FIRST</v>
      </c>
    </row>
    <row r="6" customFormat="false" ht="15" hidden="false" customHeight="false" outlineLevel="0" collapsed="false">
      <c r="A6" s="11" t="n">
        <f aca="false">IF(B6="","",2)</f>
        <v>2</v>
      </c>
      <c r="B6" s="11" t="str">
        <f aca="false">IFERROR(INDEX(Debts!$A$6:$A$20,MATCH(2,Debts!$I$6:$I$20,0)),"")</f>
        <v>Personal Loan</v>
      </c>
      <c r="C6" s="18" t="n">
        <f aca="false">IFERROR(VLOOKUP(B6,Debts!$A$6:$E$20,3,0),"")</f>
        <v>3200</v>
      </c>
      <c r="D6" s="19" t="n">
        <f aca="false">IFERROR(VLOOKUP(B6,Debts!$A$6:$E$20,4,0),"")</f>
        <v>13.9</v>
      </c>
      <c r="E6" s="18" t="n">
        <f aca="false">IFERROR(VLOOKUP(B6,Debts!$A$6:$E$20,5,0),"")</f>
        <v>95</v>
      </c>
      <c r="F6" s="11" t="str">
        <f aca="false">IF(B6="","",IF(2=1,"PAY EXTRA HERE FIRST","Minimum only until #"&amp;(2-1)&amp;" is paid off"))</f>
        <v>Minimum only until #1 is paid off</v>
      </c>
    </row>
    <row r="7" customFormat="false" ht="15" hidden="false" customHeight="false" outlineLevel="0" collapsed="false">
      <c r="A7" s="11" t="n">
        <f aca="false">IF(B7="","",3)</f>
        <v>3</v>
      </c>
      <c r="B7" s="11" t="str">
        <f aca="false">IFERROR(INDEX(Debts!$A$6:$A$20,MATCH(3,Debts!$I$6:$I$20,0)),"")</f>
        <v>Credit Card — Visa</v>
      </c>
      <c r="C7" s="18" t="n">
        <f aca="false">IFERROR(VLOOKUP(B7,Debts!$A$6:$E$20,3,0),"")</f>
        <v>4800</v>
      </c>
      <c r="D7" s="19" t="n">
        <f aca="false">IFERROR(VLOOKUP(B7,Debts!$A$6:$E$20,4,0),"")</f>
        <v>24.99</v>
      </c>
      <c r="E7" s="18" t="n">
        <f aca="false">IFERROR(VLOOKUP(B7,Debts!$A$6:$E$20,5,0),"")</f>
        <v>120</v>
      </c>
      <c r="F7" s="11" t="str">
        <f aca="false">IF(B7="","",IF(3=1,"PAY EXTRA HERE FIRST","Minimum only until #"&amp;(3-1)&amp;" is paid off"))</f>
        <v>Minimum only until #2 is paid off</v>
      </c>
    </row>
    <row r="8" customFormat="false" ht="15" hidden="false" customHeight="false" outlineLevel="0" collapsed="false">
      <c r="A8" s="11" t="n">
        <f aca="false">IF(B8="","",4)</f>
        <v>4</v>
      </c>
      <c r="B8" s="11" t="str">
        <f aca="false">IFERROR(INDEX(Debts!$A$6:$A$20,MATCH(4,Debts!$I$6:$I$20,0)),"")</f>
        <v>Car Loan</v>
      </c>
      <c r="C8" s="18" t="n">
        <f aca="false">IFERROR(VLOOKUP(B8,Debts!$A$6:$E$20,3,0),"")</f>
        <v>11500</v>
      </c>
      <c r="D8" s="19" t="n">
        <f aca="false">IFERROR(VLOOKUP(B8,Debts!$A$6:$E$20,4,0),"")</f>
        <v>6.5</v>
      </c>
      <c r="E8" s="18" t="n">
        <f aca="false">IFERROR(VLOOKUP(B8,Debts!$A$6:$E$20,5,0),"")</f>
        <v>310</v>
      </c>
      <c r="F8" s="11" t="str">
        <f aca="false">IF(B8="","",IF(4=1,"PAY EXTRA HERE FIRST","Minimum only until #"&amp;(4-1)&amp;" is paid off"))</f>
        <v>Minimum only until #3 is paid off</v>
      </c>
    </row>
    <row r="9" customFormat="false" ht="15" hidden="false" customHeight="false" outlineLevel="0" collapsed="false">
      <c r="A9" s="11" t="str">
        <f aca="false">IF(B9="","",5)</f>
        <v/>
      </c>
      <c r="B9" s="11" t="str">
        <f aca="false">IFERROR(INDEX(Debts!$A$6:$A$20,MATCH(5,Debts!$I$6:$I$20,0)),"")</f>
        <v/>
      </c>
      <c r="C9" s="18" t="str">
        <f aca="false">IFERROR(VLOOKUP(B9,Debts!$A$6:$E$20,3,0),"")</f>
        <v/>
      </c>
      <c r="D9" s="19" t="str">
        <f aca="false">IFERROR(VLOOKUP(B9,Debts!$A$6:$E$20,4,0),"")</f>
        <v/>
      </c>
      <c r="E9" s="18" t="str">
        <f aca="false">IFERROR(VLOOKUP(B9,Debts!$A$6:$E$20,5,0),"")</f>
        <v/>
      </c>
      <c r="F9" s="11" t="str">
        <f aca="false">IF(B9="","",IF(5=1,"PAY EXTRA HERE FIRST","Minimum only until #"&amp;(5-1)&amp;" is paid off"))</f>
        <v/>
      </c>
    </row>
    <row r="10" customFormat="false" ht="15" hidden="false" customHeight="false" outlineLevel="0" collapsed="false">
      <c r="A10" s="11" t="str">
        <f aca="false">IF(B10="","",6)</f>
        <v/>
      </c>
      <c r="B10" s="11" t="str">
        <f aca="false">IFERROR(INDEX(Debts!$A$6:$A$20,MATCH(6,Debts!$I$6:$I$20,0)),"")</f>
        <v/>
      </c>
      <c r="C10" s="18" t="str">
        <f aca="false">IFERROR(VLOOKUP(B10,Debts!$A$6:$E$20,3,0),"")</f>
        <v/>
      </c>
      <c r="D10" s="19" t="str">
        <f aca="false">IFERROR(VLOOKUP(B10,Debts!$A$6:$E$20,4,0),"")</f>
        <v/>
      </c>
      <c r="E10" s="18" t="str">
        <f aca="false">IFERROR(VLOOKUP(B10,Debts!$A$6:$E$20,5,0),"")</f>
        <v/>
      </c>
      <c r="F10" s="11" t="str">
        <f aca="false">IF(B10="","",IF(6=1,"PAY EXTRA HERE FIRST","Minimum only until #"&amp;(6-1)&amp;" is paid off"))</f>
        <v/>
      </c>
    </row>
    <row r="11" customFormat="false" ht="15" hidden="false" customHeight="false" outlineLevel="0" collapsed="false">
      <c r="A11" s="11" t="str">
        <f aca="false">IF(B11="","",7)</f>
        <v/>
      </c>
      <c r="B11" s="11" t="str">
        <f aca="false">IFERROR(INDEX(Debts!$A$6:$A$20,MATCH(7,Debts!$I$6:$I$20,0)),"")</f>
        <v/>
      </c>
      <c r="C11" s="18" t="str">
        <f aca="false">IFERROR(VLOOKUP(B11,Debts!$A$6:$E$20,3,0),"")</f>
        <v/>
      </c>
      <c r="D11" s="19" t="str">
        <f aca="false">IFERROR(VLOOKUP(B11,Debts!$A$6:$E$20,4,0),"")</f>
        <v/>
      </c>
      <c r="E11" s="18" t="str">
        <f aca="false">IFERROR(VLOOKUP(B11,Debts!$A$6:$E$20,5,0),"")</f>
        <v/>
      </c>
      <c r="F11" s="11" t="str">
        <f aca="false">IF(B11="","",IF(7=1,"PAY EXTRA HERE FIRST","Minimum only until #"&amp;(7-1)&amp;" is paid off"))</f>
        <v/>
      </c>
    </row>
    <row r="12" customFormat="false" ht="15" hidden="false" customHeight="false" outlineLevel="0" collapsed="false">
      <c r="A12" s="11" t="str">
        <f aca="false">IF(B12="","",8)</f>
        <v/>
      </c>
      <c r="B12" s="11" t="str">
        <f aca="false">IFERROR(INDEX(Debts!$A$6:$A$20,MATCH(8,Debts!$I$6:$I$20,0)),"")</f>
        <v/>
      </c>
      <c r="C12" s="18" t="str">
        <f aca="false">IFERROR(VLOOKUP(B12,Debts!$A$6:$E$20,3,0),"")</f>
        <v/>
      </c>
      <c r="D12" s="19" t="str">
        <f aca="false">IFERROR(VLOOKUP(B12,Debts!$A$6:$E$20,4,0),"")</f>
        <v/>
      </c>
      <c r="E12" s="18" t="str">
        <f aca="false">IFERROR(VLOOKUP(B12,Debts!$A$6:$E$20,5,0),"")</f>
        <v/>
      </c>
      <c r="F12" s="11" t="str">
        <f aca="false">IF(B12="","",IF(8=1,"PAY EXTRA HERE FIRST","Minimum only until #"&amp;(8-1)&amp;" is paid off"))</f>
        <v/>
      </c>
    </row>
    <row r="13" customFormat="false" ht="15" hidden="false" customHeight="false" outlineLevel="0" collapsed="false">
      <c r="A13" s="11" t="str">
        <f aca="false">IF(B13="","",9)</f>
        <v/>
      </c>
      <c r="B13" s="11" t="str">
        <f aca="false">IFERROR(INDEX(Debts!$A$6:$A$20,MATCH(9,Debts!$I$6:$I$20,0)),"")</f>
        <v/>
      </c>
      <c r="C13" s="18" t="str">
        <f aca="false">IFERROR(VLOOKUP(B13,Debts!$A$6:$E$20,3,0),"")</f>
        <v/>
      </c>
      <c r="D13" s="19" t="str">
        <f aca="false">IFERROR(VLOOKUP(B13,Debts!$A$6:$E$20,4,0),"")</f>
        <v/>
      </c>
      <c r="E13" s="18" t="str">
        <f aca="false">IFERROR(VLOOKUP(B13,Debts!$A$6:$E$20,5,0),"")</f>
        <v/>
      </c>
      <c r="F13" s="11" t="str">
        <f aca="false">IF(B13="","",IF(9=1,"PAY EXTRA HERE FIRST","Minimum only until #"&amp;(9-1)&amp;" is paid off"))</f>
        <v/>
      </c>
    </row>
    <row r="14" customFormat="false" ht="15" hidden="false" customHeight="false" outlineLevel="0" collapsed="false">
      <c r="A14" s="11" t="str">
        <f aca="false">IF(B14="","",10)</f>
        <v/>
      </c>
      <c r="B14" s="11" t="str">
        <f aca="false">IFERROR(INDEX(Debts!$A$6:$A$20,MATCH(10,Debts!$I$6:$I$20,0)),"")</f>
        <v/>
      </c>
      <c r="C14" s="18" t="str">
        <f aca="false">IFERROR(VLOOKUP(B14,Debts!$A$6:$E$20,3,0),"")</f>
        <v/>
      </c>
      <c r="D14" s="19" t="str">
        <f aca="false">IFERROR(VLOOKUP(B14,Debts!$A$6:$E$20,4,0),"")</f>
        <v/>
      </c>
      <c r="E14" s="18" t="str">
        <f aca="false">IFERROR(VLOOKUP(B14,Debts!$A$6:$E$20,5,0),"")</f>
        <v/>
      </c>
      <c r="F14" s="11" t="str">
        <f aca="false">IF(B14="","",IF(10=1,"PAY EXTRA HERE FIRST","Minimum only until #"&amp;(10-1)&amp;" is paid off"))</f>
        <v/>
      </c>
    </row>
    <row r="15" customFormat="false" ht="15" hidden="false" customHeight="false" outlineLevel="0" collapsed="false">
      <c r="A15" s="11" t="str">
        <f aca="false">IF(B15="","",11)</f>
        <v/>
      </c>
      <c r="B15" s="11" t="str">
        <f aca="false">IFERROR(INDEX(Debts!$A$6:$A$20,MATCH(11,Debts!$I$6:$I$20,0)),"")</f>
        <v/>
      </c>
      <c r="C15" s="18" t="str">
        <f aca="false">IFERROR(VLOOKUP(B15,Debts!$A$6:$E$20,3,0),"")</f>
        <v/>
      </c>
      <c r="D15" s="19" t="str">
        <f aca="false">IFERROR(VLOOKUP(B15,Debts!$A$6:$E$20,4,0),"")</f>
        <v/>
      </c>
      <c r="E15" s="18" t="str">
        <f aca="false">IFERROR(VLOOKUP(B15,Debts!$A$6:$E$20,5,0),"")</f>
        <v/>
      </c>
      <c r="F15" s="11" t="str">
        <f aca="false">IF(B15="","",IF(11=1,"PAY EXTRA HERE FIRST","Minimum only until #"&amp;(11-1)&amp;" is paid off"))</f>
        <v/>
      </c>
    </row>
    <row r="16" customFormat="false" ht="15" hidden="false" customHeight="false" outlineLevel="0" collapsed="false">
      <c r="A16" s="11" t="str">
        <f aca="false">IF(B16="","",12)</f>
        <v/>
      </c>
      <c r="B16" s="11" t="str">
        <f aca="false">IFERROR(INDEX(Debts!$A$6:$A$20,MATCH(12,Debts!$I$6:$I$20,0)),"")</f>
        <v/>
      </c>
      <c r="C16" s="18" t="str">
        <f aca="false">IFERROR(VLOOKUP(B16,Debts!$A$6:$E$20,3,0),"")</f>
        <v/>
      </c>
      <c r="D16" s="19" t="str">
        <f aca="false">IFERROR(VLOOKUP(B16,Debts!$A$6:$E$20,4,0),"")</f>
        <v/>
      </c>
      <c r="E16" s="18" t="str">
        <f aca="false">IFERROR(VLOOKUP(B16,Debts!$A$6:$E$20,5,0),"")</f>
        <v/>
      </c>
      <c r="F16" s="11" t="str">
        <f aca="false">IF(B16="","",IF(12=1,"PAY EXTRA HERE FIRST","Minimum only until #"&amp;(12-1)&amp;" is paid off"))</f>
        <v/>
      </c>
    </row>
    <row r="17" customFormat="false" ht="15" hidden="false" customHeight="false" outlineLevel="0" collapsed="false">
      <c r="A17" s="11" t="str">
        <f aca="false">IF(B17="","",13)</f>
        <v/>
      </c>
      <c r="B17" s="11" t="str">
        <f aca="false">IFERROR(INDEX(Debts!$A$6:$A$20,MATCH(13,Debts!$I$6:$I$20,0)),"")</f>
        <v/>
      </c>
      <c r="C17" s="18" t="str">
        <f aca="false">IFERROR(VLOOKUP(B17,Debts!$A$6:$E$20,3,0),"")</f>
        <v/>
      </c>
      <c r="D17" s="19" t="str">
        <f aca="false">IFERROR(VLOOKUP(B17,Debts!$A$6:$E$20,4,0),"")</f>
        <v/>
      </c>
      <c r="E17" s="18" t="str">
        <f aca="false">IFERROR(VLOOKUP(B17,Debts!$A$6:$E$20,5,0),"")</f>
        <v/>
      </c>
      <c r="F17" s="11" t="str">
        <f aca="false">IF(B17="","",IF(13=1,"PAY EXTRA HERE FIRST","Minimum only until #"&amp;(13-1)&amp;" is paid off"))</f>
        <v/>
      </c>
    </row>
    <row r="18" customFormat="false" ht="15" hidden="false" customHeight="false" outlineLevel="0" collapsed="false">
      <c r="A18" s="11" t="str">
        <f aca="false">IF(B18="","",14)</f>
        <v/>
      </c>
      <c r="B18" s="11" t="str">
        <f aca="false">IFERROR(INDEX(Debts!$A$6:$A$20,MATCH(14,Debts!$I$6:$I$20,0)),"")</f>
        <v/>
      </c>
      <c r="C18" s="18" t="str">
        <f aca="false">IFERROR(VLOOKUP(B18,Debts!$A$6:$E$20,3,0),"")</f>
        <v/>
      </c>
      <c r="D18" s="19" t="str">
        <f aca="false">IFERROR(VLOOKUP(B18,Debts!$A$6:$E$20,4,0),"")</f>
        <v/>
      </c>
      <c r="E18" s="18" t="str">
        <f aca="false">IFERROR(VLOOKUP(B18,Debts!$A$6:$E$20,5,0),"")</f>
        <v/>
      </c>
      <c r="F18" s="11" t="str">
        <f aca="false">IF(B18="","",IF(14=1,"PAY EXTRA HERE FIRST","Minimum only until #"&amp;(14-1)&amp;" is paid off"))</f>
        <v/>
      </c>
    </row>
    <row r="19" customFormat="false" ht="15" hidden="false" customHeight="false" outlineLevel="0" collapsed="false">
      <c r="A19" s="11" t="str">
        <f aca="false">IF(B19="","",15)</f>
        <v/>
      </c>
      <c r="B19" s="11" t="str">
        <f aca="false">IFERROR(INDEX(Debts!$A$6:$A$20,MATCH(15,Debts!$I$6:$I$20,0)),"")</f>
        <v/>
      </c>
      <c r="C19" s="18" t="str">
        <f aca="false">IFERROR(VLOOKUP(B19,Debts!$A$6:$E$20,3,0),"")</f>
        <v/>
      </c>
      <c r="D19" s="19" t="str">
        <f aca="false">IFERROR(VLOOKUP(B19,Debts!$A$6:$E$20,4,0),"")</f>
        <v/>
      </c>
      <c r="E19" s="18" t="str">
        <f aca="false">IFERROR(VLOOKUP(B19,Debts!$A$6:$E$20,5,0),"")</f>
        <v/>
      </c>
      <c r="F19" s="11" t="str">
        <f aca="false">IF(B19="","",IF(15=1,"PAY EXTRA HERE FIRST","Minimum only until #"&amp;(15-1)&amp;" is paid off"))</f>
        <v/>
      </c>
    </row>
    <row r="20" customFormat="false" ht="15" hidden="false" customHeight="false" outlineLevel="0" collapsed="false">
      <c r="A20" s="11" t="str">
        <f aca="false">IF(B20="","",16)</f>
        <v/>
      </c>
      <c r="B20" s="11" t="str">
        <f aca="false">IFERROR(INDEX(Debts!$A$6:$A$20,MATCH(16,Debts!$I$6:$I$20,0)),"")</f>
        <v/>
      </c>
      <c r="C20" s="18" t="str">
        <f aca="false">IFERROR(VLOOKUP(B20,Debts!$A$6:$E$20,3,0),"")</f>
        <v/>
      </c>
      <c r="D20" s="19" t="str">
        <f aca="false">IFERROR(VLOOKUP(B20,Debts!$A$6:$E$20,4,0),"")</f>
        <v/>
      </c>
      <c r="E20" s="18" t="str">
        <f aca="false">IFERROR(VLOOKUP(B20,Debts!$A$6:$E$20,5,0),"")</f>
        <v/>
      </c>
      <c r="F20" s="11" t="str">
        <f aca="false">IF(B20="","",IF(16=1,"PAY EXTRA HERE FIRST","Minimum only until #"&amp;(16-1)&amp;" is paid off"))</f>
        <v/>
      </c>
    </row>
    <row r="21" customFormat="false" ht="15" hidden="false" customHeight="false" outlineLevel="0" collapsed="false">
      <c r="A21" s="11" t="str">
        <f aca="false">IF(B21="","",17)</f>
        <v/>
      </c>
      <c r="B21" s="11" t="str">
        <f aca="false">IFERROR(INDEX(Debts!$A$6:$A$20,MATCH(17,Debts!$I$6:$I$20,0)),"")</f>
        <v/>
      </c>
      <c r="C21" s="18" t="str">
        <f aca="false">IFERROR(VLOOKUP(B21,Debts!$A$6:$E$20,3,0),"")</f>
        <v/>
      </c>
      <c r="D21" s="19" t="str">
        <f aca="false">IFERROR(VLOOKUP(B21,Debts!$A$6:$E$20,4,0),"")</f>
        <v/>
      </c>
      <c r="E21" s="18" t="str">
        <f aca="false">IFERROR(VLOOKUP(B21,Debts!$A$6:$E$20,5,0),"")</f>
        <v/>
      </c>
      <c r="F21" s="11" t="str">
        <f aca="false">IF(B21="","",IF(17=1,"PAY EXTRA HERE FIRST","Minimum only until #"&amp;(17-1)&amp;" is paid off"))</f>
        <v/>
      </c>
    </row>
    <row r="22" customFormat="false" ht="15" hidden="false" customHeight="false" outlineLevel="0" collapsed="false">
      <c r="A22" s="11" t="str">
        <f aca="false">IF(B22="","",18)</f>
        <v/>
      </c>
      <c r="B22" s="11" t="str">
        <f aca="false">IFERROR(INDEX(Debts!$A$6:$A$20,MATCH(18,Debts!$I$6:$I$20,0)),"")</f>
        <v/>
      </c>
      <c r="C22" s="18" t="str">
        <f aca="false">IFERROR(VLOOKUP(B22,Debts!$A$6:$E$20,3,0),"")</f>
        <v/>
      </c>
      <c r="D22" s="19" t="str">
        <f aca="false">IFERROR(VLOOKUP(B22,Debts!$A$6:$E$20,4,0),"")</f>
        <v/>
      </c>
      <c r="E22" s="18" t="str">
        <f aca="false">IFERROR(VLOOKUP(B22,Debts!$A$6:$E$20,5,0),"")</f>
        <v/>
      </c>
      <c r="F22" s="11" t="str">
        <f aca="false">IF(B22="","",IF(18=1,"PAY EXTRA HERE FIRST","Minimum only until #"&amp;(18-1)&amp;" is paid off"))</f>
        <v/>
      </c>
    </row>
    <row r="23" customFormat="false" ht="15" hidden="false" customHeight="false" outlineLevel="0" collapsed="false">
      <c r="A23" s="11" t="str">
        <f aca="false">IF(B23="","",19)</f>
        <v/>
      </c>
      <c r="B23" s="11" t="str">
        <f aca="false">IFERROR(INDEX(Debts!$A$6:$A$20,MATCH(19,Debts!$I$6:$I$20,0)),"")</f>
        <v/>
      </c>
      <c r="C23" s="18" t="str">
        <f aca="false">IFERROR(VLOOKUP(B23,Debts!$A$6:$E$20,3,0),"")</f>
        <v/>
      </c>
      <c r="D23" s="19" t="str">
        <f aca="false">IFERROR(VLOOKUP(B23,Debts!$A$6:$E$20,4,0),"")</f>
        <v/>
      </c>
      <c r="E23" s="18" t="str">
        <f aca="false">IFERROR(VLOOKUP(B23,Debts!$A$6:$E$20,5,0),"")</f>
        <v/>
      </c>
      <c r="F23" s="11" t="str">
        <f aca="false">IF(B23="","",IF(19=1,"PAY EXTRA HERE FIRST","Minimum only until #"&amp;(19-1)&amp;" is paid off"))</f>
        <v/>
      </c>
    </row>
    <row r="24" customFormat="false" ht="15" hidden="false" customHeight="false" outlineLevel="0" collapsed="false">
      <c r="A24" s="11" t="str">
        <f aca="false">IF(B24="","",20)</f>
        <v/>
      </c>
      <c r="B24" s="11" t="str">
        <f aca="false">IFERROR(INDEX(Debts!$A$6:$A$20,MATCH(20,Debts!$I$6:$I$20,0)),"")</f>
        <v/>
      </c>
      <c r="C24" s="18" t="str">
        <f aca="false">IFERROR(VLOOKUP(B24,Debts!$A$6:$E$20,3,0),"")</f>
        <v/>
      </c>
      <c r="D24" s="19" t="str">
        <f aca="false">IFERROR(VLOOKUP(B24,Debts!$A$6:$E$20,4,0),"")</f>
        <v/>
      </c>
      <c r="E24" s="18" t="str">
        <f aca="false">IFERROR(VLOOKUP(B24,Debts!$A$6:$E$20,5,0),"")</f>
        <v/>
      </c>
      <c r="F24" s="11" t="str">
        <f aca="false">IF(B24="","",IF(20=1,"PAY EXTRA HERE FIRST","Minimum only until #"&amp;(20-1)&amp;" is paid off"))</f>
        <v/>
      </c>
    </row>
    <row r="27" customFormat="false" ht="16.15" hidden="false" customHeight="false" outlineLevel="0" collapsed="false">
      <c r="A27" s="20" t="s">
        <v>58</v>
      </c>
      <c r="B27" s="20"/>
      <c r="C27" s="20"/>
      <c r="D27" s="20"/>
      <c r="E27" s="20"/>
      <c r="F27" s="20"/>
    </row>
    <row r="28" customFormat="false" ht="15" hidden="false" customHeight="false" outlineLevel="0" collapsed="false">
      <c r="A28" s="4" t="s">
        <v>59</v>
      </c>
      <c r="C28" s="21" t="n">
        <f aca="false">Debts!C23</f>
        <v>20700</v>
      </c>
    </row>
    <row r="29" customFormat="false" ht="15" hidden="false" customHeight="false" outlineLevel="0" collapsed="false">
      <c r="A29" s="4" t="s">
        <v>60</v>
      </c>
      <c r="C29" s="21" t="n">
        <f aca="false">Debts!E23</f>
        <v>570</v>
      </c>
    </row>
    <row r="30" customFormat="false" ht="15" hidden="false" customHeight="false" outlineLevel="0" collapsed="false">
      <c r="A30" s="4" t="s">
        <v>61</v>
      </c>
      <c r="C30" s="21" t="n">
        <f aca="false">Debts!C3</f>
        <v>300</v>
      </c>
    </row>
    <row r="31" customFormat="false" ht="15" hidden="false" customHeight="false" outlineLevel="0" collapsed="false">
      <c r="A31" s="4" t="s">
        <v>62</v>
      </c>
      <c r="C31" s="21" t="n">
        <f aca="false">C29+C30</f>
        <v>870</v>
      </c>
    </row>
    <row r="32" customFormat="false" ht="15" hidden="false" customHeight="false" outlineLevel="0" collapsed="false">
      <c r="A32" s="4" t="s">
        <v>63</v>
      </c>
      <c r="C32" s="22" t="n">
        <f aca="false">IF(C31&gt;0,ROUNDUP(C28/C31*1.12,0),"")</f>
        <v>27</v>
      </c>
    </row>
    <row r="33" customFormat="false" ht="15" hidden="false" customHeight="false" outlineLevel="0" collapsed="false">
      <c r="A33" s="0" t="s">
        <v>64</v>
      </c>
      <c r="C33" s="2" t="s">
        <v>68</v>
      </c>
      <c r="D33" s="2"/>
      <c r="E33" s="2"/>
      <c r="F33" s="2"/>
    </row>
  </sheetData>
  <mergeCells count="4">
    <mergeCell ref="A1:F1"/>
    <mergeCell ref="A2:F2"/>
    <mergeCell ref="A27:F27"/>
    <mergeCell ref="C33:F33"/>
  </mergeCells>
  <conditionalFormatting sqref="F5:F24">
    <cfRule type="expression" priority="2" aboveAverage="0" equalAverage="0" bottom="0" percent="0" rank="0" text="" dxfId="0">
      <formula>F5="PAY EXTRA HERE FIRST"</formula>
    </cfRule>
  </conditionalFormatting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6"/>
    <col collapsed="false" customWidth="true" hidden="false" outlineLevel="0" max="3" min="2" style="0" width="18"/>
    <col collapsed="false" customWidth="true" hidden="false" outlineLevel="0" max="4" min="4" style="0" width="16"/>
  </cols>
  <sheetData>
    <row r="1" customFormat="false" ht="24.45" hidden="false" customHeight="false" outlineLevel="0" collapsed="false">
      <c r="A1" s="6" t="s">
        <v>69</v>
      </c>
      <c r="B1" s="6"/>
      <c r="C1" s="6"/>
      <c r="D1" s="6"/>
    </row>
    <row r="3" customFormat="false" ht="15" hidden="false" customHeight="false" outlineLevel="0" collapsed="false">
      <c r="A3" s="9" t="s">
        <v>70</v>
      </c>
      <c r="B3" s="9" t="s">
        <v>71</v>
      </c>
      <c r="C3" s="9" t="s">
        <v>72</v>
      </c>
      <c r="D3" s="9" t="s">
        <v>73</v>
      </c>
    </row>
    <row r="4" customFormat="false" ht="15" hidden="false" customHeight="false" outlineLevel="0" collapsed="false">
      <c r="A4" s="23" t="s">
        <v>59</v>
      </c>
      <c r="B4" s="18" t="n">
        <f aca="false">'Avalanche Plan'!C28</f>
        <v>20700</v>
      </c>
      <c r="C4" s="18" t="n">
        <f aca="false">'Snowball Plan'!C28</f>
        <v>20700</v>
      </c>
      <c r="D4" s="18" t="n">
        <f aca="false">B4-C4</f>
        <v>0</v>
      </c>
    </row>
    <row r="5" customFormat="false" ht="15" hidden="false" customHeight="false" outlineLevel="0" collapsed="false">
      <c r="A5" s="23" t="s">
        <v>74</v>
      </c>
      <c r="B5" s="18" t="n">
        <f aca="false">'Avalanche Plan'!C31</f>
        <v>870</v>
      </c>
      <c r="C5" s="18" t="n">
        <f aca="false">'Snowball Plan'!C31</f>
        <v>870</v>
      </c>
      <c r="D5" s="18" t="n">
        <f aca="false">B5-C5</f>
        <v>0</v>
      </c>
    </row>
    <row r="6" customFormat="false" ht="15" hidden="false" customHeight="false" outlineLevel="0" collapsed="false">
      <c r="A6" s="23" t="s">
        <v>75</v>
      </c>
      <c r="B6" s="11" t="n">
        <f aca="false">'Avalanche Plan'!C32</f>
        <v>28</v>
      </c>
      <c r="C6" s="11" t="n">
        <f aca="false">'Snowball Plan'!C32</f>
        <v>27</v>
      </c>
      <c r="D6" s="11" t="n">
        <f aca="false">B6-C6</f>
        <v>1</v>
      </c>
    </row>
    <row r="7" customFormat="false" ht="15" hidden="false" customHeight="false" outlineLevel="0" collapsed="false">
      <c r="A7" s="23" t="s">
        <v>76</v>
      </c>
      <c r="B7" s="11" t="str">
        <f aca="false">'Avalanche Plan'!B5</f>
        <v>Credit Card — Store Card</v>
      </c>
      <c r="C7" s="11" t="str">
        <f aca="false">'Snowball Plan'!B5</f>
        <v>Credit Card — Store Card</v>
      </c>
      <c r="D7" s="15"/>
    </row>
    <row r="9" customFormat="false" ht="16.15" hidden="false" customHeight="false" outlineLevel="0" collapsed="false">
      <c r="A9" s="20" t="s">
        <v>77</v>
      </c>
      <c r="B9" s="20"/>
      <c r="C9" s="20"/>
      <c r="D9" s="20"/>
    </row>
    <row r="10" customFormat="false" ht="15" hidden="false" customHeight="false" outlineLevel="0" collapsed="false">
      <c r="A10" s="2" t="s">
        <v>78</v>
      </c>
      <c r="B10" s="2"/>
      <c r="C10" s="2"/>
      <c r="D10" s="2"/>
    </row>
    <row r="11" customFormat="false" ht="15" hidden="false" customHeight="false" outlineLevel="0" collapsed="false">
      <c r="A11" s="2" t="s">
        <v>79</v>
      </c>
      <c r="B11" s="2"/>
      <c r="C11" s="2"/>
      <c r="D11" s="2"/>
    </row>
  </sheetData>
  <mergeCells count="4">
    <mergeCell ref="A1:D1"/>
    <mergeCell ref="A9:D9"/>
    <mergeCell ref="A10:D10"/>
    <mergeCell ref="A11:D1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2"/>
    <col collapsed="false" customWidth="true" hidden="false" outlineLevel="0" max="2" min="2" style="0" width="100"/>
  </cols>
  <sheetData>
    <row r="1" customFormat="false" ht="24.45" hidden="false" customHeight="false" outlineLevel="0" collapsed="false">
      <c r="A1" s="6" t="s">
        <v>80</v>
      </c>
      <c r="B1" s="6"/>
    </row>
    <row r="2" customFormat="false" ht="15" hidden="false" customHeight="false" outlineLevel="0" collapsed="false">
      <c r="A2" s="2" t="s">
        <v>81</v>
      </c>
      <c r="B2" s="2"/>
    </row>
    <row r="4" customFormat="false" ht="15" hidden="false" customHeight="false" outlineLevel="0" collapsed="false">
      <c r="A4" s="9" t="s">
        <v>82</v>
      </c>
      <c r="B4" s="9" t="s">
        <v>83</v>
      </c>
    </row>
    <row r="5" customFormat="false" ht="79.5" hidden="false" customHeight="true" outlineLevel="0" collapsed="false">
      <c r="A5" s="23" t="s">
        <v>84</v>
      </c>
      <c r="B5" s="24" t="s">
        <v>85</v>
      </c>
    </row>
    <row r="6" customFormat="false" ht="79.5" hidden="false" customHeight="true" outlineLevel="0" collapsed="false">
      <c r="A6" s="23" t="s">
        <v>86</v>
      </c>
      <c r="B6" s="24" t="s">
        <v>87</v>
      </c>
    </row>
    <row r="7" customFormat="false" ht="79.5" hidden="false" customHeight="true" outlineLevel="0" collapsed="false">
      <c r="A7" s="23" t="s">
        <v>88</v>
      </c>
      <c r="B7" s="24" t="s">
        <v>89</v>
      </c>
    </row>
    <row r="8" customFormat="false" ht="79.5" hidden="false" customHeight="true" outlineLevel="0" collapsed="false">
      <c r="A8" s="23" t="s">
        <v>90</v>
      </c>
      <c r="B8" s="24" t="s">
        <v>91</v>
      </c>
    </row>
    <row r="9" customFormat="false" ht="79.5" hidden="false" customHeight="true" outlineLevel="0" collapsed="false">
      <c r="A9" s="23" t="s">
        <v>92</v>
      </c>
      <c r="B9" s="24" t="s">
        <v>93</v>
      </c>
    </row>
  </sheetData>
  <mergeCells count="2">
    <mergeCell ref="A1:B1"/>
    <mergeCell ref="A2:B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2026-06-20T04:16:03Z</dcterms:created>
  <dc:creator>openpyxl</dc:creator>
  <dc:description/>
  <dc:language>en-US</dc:language>
  <cp:lastModifiedBy/>
  <dcterms:modified xsi:type="dcterms:W3CDTF">2026-06-20T04:16:03Z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